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ingh_pt\Desktop\WFH\Indicative Aid Budget\"/>
    </mc:Choice>
  </mc:AlternateContent>
  <bookViews>
    <workbookView xWindow="0" yWindow="0" windowWidth="23040" windowHeight="8616"/>
  </bookViews>
  <sheets>
    <sheet name="Indicative Aid 2018"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27" i="1" s="1"/>
  <c r="C23" i="1"/>
  <c r="C24" i="1" s="1"/>
  <c r="C22" i="1"/>
  <c r="B20" i="1"/>
  <c r="C19" i="1"/>
  <c r="C18" i="1"/>
  <c r="C20" i="1" s="1"/>
  <c r="F17" i="1"/>
  <c r="C16" i="1"/>
  <c r="B16" i="1"/>
  <c r="F15" i="1"/>
  <c r="C15" i="1"/>
  <c r="F14" i="1"/>
  <c r="C14" i="1"/>
  <c r="F13" i="1"/>
  <c r="C13" i="1"/>
  <c r="F12" i="1"/>
  <c r="F19" i="1" s="1"/>
  <c r="F26" i="1" s="1"/>
  <c r="F10" i="1"/>
  <c r="C10" i="1"/>
  <c r="C9" i="1"/>
  <c r="B9" i="1"/>
  <c r="C8" i="1"/>
  <c r="F7" i="1"/>
  <c r="F24" i="1" s="1"/>
  <c r="C7" i="1"/>
  <c r="F6" i="1"/>
  <c r="C6" i="1"/>
  <c r="C5" i="1"/>
  <c r="F4" i="1"/>
  <c r="B4" i="1"/>
  <c r="B11" i="1" s="1"/>
  <c r="C4" i="1" l="1"/>
  <c r="C11" i="1" s="1"/>
  <c r="C28" i="1" s="1"/>
  <c r="F23" i="1" s="1"/>
  <c r="F28" i="1" s="1"/>
  <c r="C26" i="1"/>
  <c r="C27" i="1" s="1"/>
</calcChain>
</file>

<file path=xl/comments1.xml><?xml version="1.0" encoding="utf-8"?>
<comments xmlns="http://schemas.openxmlformats.org/spreadsheetml/2006/main">
  <authors>
    <author>singh_pt</author>
    <author>Pretishma Singh</author>
  </authors>
  <commentList>
    <comment ref="C4" authorId="0" shapeId="0">
      <text>
        <r>
          <rPr>
            <b/>
            <sz val="9"/>
            <color indexed="81"/>
            <rFont val="Tahoma"/>
            <family val="2"/>
          </rPr>
          <t>singh_pt:</t>
        </r>
        <r>
          <rPr>
            <sz val="9"/>
            <color indexed="81"/>
            <rFont val="Tahoma"/>
            <family val="2"/>
          </rPr>
          <t xml:space="preserve">
1 FJD = 0.6064 AUD 
Exchange rate as at 18 Jan 2018
</t>
        </r>
      </text>
    </comment>
    <comment ref="F4" authorId="1" shapeId="0">
      <text>
        <r>
          <rPr>
            <b/>
            <sz val="9"/>
            <color indexed="81"/>
            <rFont val="Tahoma"/>
            <family val="2"/>
          </rPr>
          <t>Pretishma Singh:</t>
        </r>
        <r>
          <rPr>
            <sz val="9"/>
            <color indexed="81"/>
            <rFont val="Tahoma"/>
            <family val="2"/>
          </rPr>
          <t xml:space="preserve">
Exchange rate as at 16 February 2018
1 FJD = 0.3913 EUR</t>
        </r>
      </text>
    </comment>
    <comment ref="C5" authorId="1" shapeId="0">
      <text>
        <r>
          <rPr>
            <b/>
            <sz val="9"/>
            <color indexed="81"/>
            <rFont val="Tahoma"/>
            <family val="2"/>
          </rPr>
          <t>Pretishma Singh:</t>
        </r>
        <r>
          <rPr>
            <sz val="9"/>
            <color indexed="81"/>
            <rFont val="Tahoma"/>
            <family val="2"/>
          </rPr>
          <t xml:space="preserve">
1 FJD = 0.6064 AUD 
Exchange rate as at 18 Jan 2018</t>
        </r>
      </text>
    </comment>
    <comment ref="C6" authorId="1" shapeId="0">
      <text>
        <r>
          <rPr>
            <b/>
            <sz val="9"/>
            <color indexed="81"/>
            <rFont val="Tahoma"/>
            <family val="2"/>
          </rPr>
          <t>Pretishma Singh:</t>
        </r>
        <r>
          <rPr>
            <sz val="9"/>
            <color indexed="81"/>
            <rFont val="Tahoma"/>
            <family val="2"/>
          </rPr>
          <t xml:space="preserve">
Exchange rate as at 18 January 2018
1 FJD = 0.6064 AUD</t>
        </r>
      </text>
    </comment>
    <comment ref="F6" authorId="1" shapeId="0">
      <text>
        <r>
          <rPr>
            <b/>
            <sz val="9"/>
            <color indexed="81"/>
            <rFont val="Tahoma"/>
            <family val="2"/>
          </rPr>
          <t>Pretishma Singh:</t>
        </r>
        <r>
          <rPr>
            <sz val="9"/>
            <color indexed="81"/>
            <rFont val="Tahoma"/>
            <family val="2"/>
          </rPr>
          <t xml:space="preserve">
1 FJD = 0.3954 EUR Exchange Rate as at 11 September 2018</t>
        </r>
      </text>
    </comment>
    <comment ref="C7" authorId="1" shapeId="0">
      <text>
        <r>
          <rPr>
            <b/>
            <sz val="9"/>
            <color indexed="81"/>
            <rFont val="Tahoma"/>
            <family val="2"/>
          </rPr>
          <t>Pretishma Singh:</t>
        </r>
        <r>
          <rPr>
            <sz val="9"/>
            <color indexed="81"/>
            <rFont val="Tahoma"/>
            <family val="2"/>
          </rPr>
          <t xml:space="preserve">
1 FJD = 0.6052 AUD as at 1 February 2018, this is the date the funds were received as per the system (emailed by Georgina) </t>
        </r>
      </text>
    </comment>
    <comment ref="C8" authorId="1" shapeId="0">
      <text>
        <r>
          <rPr>
            <b/>
            <sz val="9"/>
            <color indexed="81"/>
            <rFont val="Tahoma"/>
            <family val="2"/>
          </rPr>
          <t>Pretishma Singh:</t>
        </r>
        <r>
          <rPr>
            <sz val="9"/>
            <color indexed="81"/>
            <rFont val="Tahoma"/>
            <family val="2"/>
          </rPr>
          <t xml:space="preserve">
1 FJD = 0.6243 AUD as at 9 April 2018</t>
        </r>
      </text>
    </comment>
    <comment ref="F10" authorId="0" shapeId="0">
      <text>
        <r>
          <rPr>
            <b/>
            <sz val="9"/>
            <color indexed="81"/>
            <rFont val="Tahoma"/>
            <family val="2"/>
          </rPr>
          <t>singh_pt:</t>
        </r>
        <r>
          <rPr>
            <sz val="9"/>
            <color indexed="81"/>
            <rFont val="Tahoma"/>
            <family val="2"/>
          </rPr>
          <t xml:space="preserve">
Exchange rate as at 05 Jan 2017
(As per email from Cherie Moris dated 10 Jan 2017</t>
        </r>
      </text>
    </comment>
    <comment ref="E11" authorId="0" shapeId="0">
      <text>
        <r>
          <rPr>
            <b/>
            <sz val="9"/>
            <color indexed="81"/>
            <rFont val="Tahoma"/>
            <family val="2"/>
          </rPr>
          <t>singh_pt:</t>
        </r>
        <r>
          <rPr>
            <sz val="9"/>
            <color indexed="81"/>
            <rFont val="Tahoma"/>
            <family val="2"/>
          </rPr>
          <t xml:space="preserve">
Revised as per Rina's email dated 22 August 2017</t>
        </r>
      </text>
    </comment>
    <comment ref="F11" authorId="0" shapeId="0">
      <text>
        <r>
          <rPr>
            <b/>
            <sz val="9"/>
            <color indexed="81"/>
            <rFont val="Tahoma"/>
            <family val="2"/>
          </rPr>
          <t>singh_pt:</t>
        </r>
        <r>
          <rPr>
            <sz val="9"/>
            <color indexed="81"/>
            <rFont val="Tahoma"/>
            <family val="2"/>
          </rPr>
          <t xml:space="preserve">
Includes funding under Amendment 2 and as per Dr Johann's email on 19/01/18</t>
        </r>
      </text>
    </comment>
    <comment ref="E12" authorId="1" shapeId="0">
      <text>
        <r>
          <rPr>
            <b/>
            <sz val="9"/>
            <color indexed="81"/>
            <rFont val="Tahoma"/>
            <family val="2"/>
          </rPr>
          <t>Pretishma Singh:</t>
        </r>
        <r>
          <rPr>
            <sz val="9"/>
            <color indexed="81"/>
            <rFont val="Tahoma"/>
            <family val="2"/>
          </rPr>
          <t xml:space="preserve">
As per the email received from Maria Mafi on 1/11/17</t>
        </r>
      </text>
    </comment>
    <comment ref="F12" authorId="0" shapeId="0">
      <text>
        <r>
          <rPr>
            <b/>
            <sz val="9"/>
            <color indexed="81"/>
            <rFont val="Tahoma"/>
            <family val="2"/>
          </rPr>
          <t>singh_pt:</t>
        </r>
        <r>
          <rPr>
            <sz val="9"/>
            <color indexed="81"/>
            <rFont val="Tahoma"/>
            <family val="2"/>
          </rPr>
          <t xml:space="preserve">
1 FJD =3.0530 SBD Exchange rate as at 22/01/18</t>
        </r>
      </text>
    </comment>
    <comment ref="C13" authorId="0" shapeId="0">
      <text>
        <r>
          <rPr>
            <b/>
            <sz val="9"/>
            <color indexed="81"/>
            <rFont val="Tahoma"/>
            <family val="2"/>
          </rPr>
          <t>singh_pt:</t>
        </r>
        <r>
          <rPr>
            <sz val="9"/>
            <color indexed="81"/>
            <rFont val="Tahoma"/>
            <family val="2"/>
          </rPr>
          <t xml:space="preserve">
Exchange rate as at 18 Jan 2018
1 FJD = 0.6622 NZD</t>
        </r>
      </text>
    </comment>
    <comment ref="D13" authorId="1" shapeId="0">
      <text>
        <r>
          <rPr>
            <b/>
            <sz val="9"/>
            <color indexed="81"/>
            <rFont val="Tahoma"/>
            <family val="2"/>
          </rPr>
          <t>Pretishma Singh:</t>
        </r>
        <r>
          <rPr>
            <sz val="9"/>
            <color indexed="81"/>
            <rFont val="Tahoma"/>
            <family val="2"/>
          </rPr>
          <t xml:space="preserve">
As per email from Nolyn on 22/01/18</t>
        </r>
      </text>
    </comment>
    <comment ref="F13" authorId="1" shapeId="0">
      <text>
        <r>
          <rPr>
            <b/>
            <sz val="9"/>
            <color indexed="81"/>
            <rFont val="Tahoma"/>
            <family val="2"/>
          </rPr>
          <t>Pretishma Singh:</t>
        </r>
        <r>
          <rPr>
            <sz val="9"/>
            <color indexed="81"/>
            <rFont val="Tahoma"/>
            <family val="2"/>
          </rPr>
          <t xml:space="preserve">
Exchange Rate as at 22 January 2018
1 FJD = 0.3973 EUR</t>
        </r>
      </text>
    </comment>
    <comment ref="C14" authorId="1" shapeId="0">
      <text>
        <r>
          <rPr>
            <b/>
            <sz val="9"/>
            <color indexed="81"/>
            <rFont val="Tahoma"/>
            <family val="2"/>
          </rPr>
          <t>Pretishma Singh:</t>
        </r>
        <r>
          <rPr>
            <sz val="9"/>
            <color indexed="81"/>
            <rFont val="Tahoma"/>
            <family val="2"/>
          </rPr>
          <t xml:space="preserve">
Exchange rate as at 18 Jan 2018
1 FJD = 0.6622 NZD</t>
        </r>
      </text>
    </comment>
    <comment ref="C15" authorId="1" shapeId="0">
      <text>
        <r>
          <rPr>
            <b/>
            <sz val="9"/>
            <color indexed="81"/>
            <rFont val="Tahoma"/>
            <family val="2"/>
          </rPr>
          <t>Pretishma Singh:</t>
        </r>
        <r>
          <rPr>
            <sz val="9"/>
            <color indexed="81"/>
            <rFont val="Tahoma"/>
            <family val="2"/>
          </rPr>
          <t xml:space="preserve">
Exchange rate as at 4 July 2017: 1 FJD = 0.6495 NZD </t>
        </r>
      </text>
    </comment>
    <comment ref="F17" authorId="1" shapeId="0">
      <text>
        <r>
          <rPr>
            <b/>
            <sz val="9"/>
            <color indexed="81"/>
            <rFont val="Tahoma"/>
            <family val="2"/>
          </rPr>
          <t>Pretishma Singh:</t>
        </r>
        <r>
          <rPr>
            <sz val="9"/>
            <color indexed="81"/>
            <rFont val="Tahoma"/>
            <family val="2"/>
          </rPr>
          <t xml:space="preserve">
Includes rental charges for the first year and 6 months advance payment for next year's rental + electricity charges for 1 year</t>
        </r>
      </text>
    </comment>
    <comment ref="C18" authorId="1" shapeId="0">
      <text>
        <r>
          <rPr>
            <b/>
            <sz val="9"/>
            <color indexed="81"/>
            <rFont val="Tahoma"/>
            <family val="2"/>
          </rPr>
          <t>Pretishma Singh:</t>
        </r>
        <r>
          <rPr>
            <sz val="9"/>
            <color indexed="81"/>
            <rFont val="Tahoma"/>
            <family val="2"/>
          </rPr>
          <t xml:space="preserve">
Exchange rate as at 18 January 2018
1 FJD = 0.4869 USD</t>
        </r>
      </text>
    </comment>
    <comment ref="C19" authorId="1" shapeId="0">
      <text>
        <r>
          <rPr>
            <b/>
            <sz val="9"/>
            <color indexed="81"/>
            <rFont val="Tahoma"/>
            <family val="2"/>
          </rPr>
          <t>Pretishma Singh:</t>
        </r>
        <r>
          <rPr>
            <sz val="9"/>
            <color indexed="81"/>
            <rFont val="Tahoma"/>
            <family val="2"/>
          </rPr>
          <t xml:space="preserve">
1 FJD = 0.4597 USD Excahnge Rate as at 28 September 2018</t>
        </r>
      </text>
    </comment>
    <comment ref="C23" authorId="1" shapeId="0">
      <text>
        <r>
          <rPr>
            <b/>
            <sz val="9"/>
            <color indexed="81"/>
            <rFont val="Tahoma"/>
            <family val="2"/>
          </rPr>
          <t>Pretishma Singh:</t>
        </r>
        <r>
          <rPr>
            <sz val="9"/>
            <color indexed="81"/>
            <rFont val="Tahoma"/>
            <family val="2"/>
          </rPr>
          <t xml:space="preserve">
Exchange rate as at 26 June 2018
1 FJD = 50.74 JPY</t>
        </r>
      </text>
    </comment>
    <comment ref="C26" authorId="1" shapeId="0">
      <text>
        <r>
          <rPr>
            <b/>
            <sz val="9"/>
            <color indexed="81"/>
            <rFont val="Tahoma"/>
            <family val="2"/>
          </rPr>
          <t>Pretishma Singh:</t>
        </r>
        <r>
          <rPr>
            <sz val="9"/>
            <color indexed="81"/>
            <rFont val="Tahoma"/>
            <family val="2"/>
          </rPr>
          <t xml:space="preserve">
Exchange rate as at 29 December 2017 
1 FJD = USD 0.4789
</t>
        </r>
      </text>
    </comment>
  </commentList>
</comments>
</file>

<file path=xl/sharedStrings.xml><?xml version="1.0" encoding="utf-8"?>
<sst xmlns="http://schemas.openxmlformats.org/spreadsheetml/2006/main" count="74" uniqueCount="67">
  <si>
    <t>Indicative Aid Budget 2018</t>
  </si>
  <si>
    <t xml:space="preserve">BILATERAL FUNDING </t>
  </si>
  <si>
    <t>Currency</t>
  </si>
  <si>
    <t>FJD</t>
  </si>
  <si>
    <t>MULTI-LATERAL FUNDING</t>
  </si>
  <si>
    <t>Australian</t>
  </si>
  <si>
    <t>AUD</t>
  </si>
  <si>
    <t>EU</t>
  </si>
  <si>
    <t>EUR</t>
  </si>
  <si>
    <t xml:space="preserve">Recurrent (Core) Budget </t>
  </si>
  <si>
    <t>Contract between USP and Global Biodiversity Information Facility Scretariat (GBIFS) for Capacity building and data mobilization for conservation and decision making in the 
South Pacific</t>
  </si>
  <si>
    <t>Contract for the Provision of Services between the Commonwealth of Australia as represented by the Australian Centre for International Agricultural Research (ACIAR) and USP for the project ‘Postgraduate Scholarship Scheme’</t>
  </si>
  <si>
    <t xml:space="preserve">Letter of Agreement between USP and University of Bergen to cooperate through mutual cooperation in the ocean field and the climate research facilities </t>
  </si>
  <si>
    <t>Collaborative Agreement between USP and University of Sunshine Coast</t>
  </si>
  <si>
    <t xml:space="preserve">Grant Agreement for Pillar Assessed Organisations for the Action entitled: 'Pacific-European Union Marine Partnership Programme (PEUMP) KRA 6: Capacity Development'  </t>
  </si>
  <si>
    <t>MOU between USP and Supreme and National Courts of Justice of PNG</t>
  </si>
  <si>
    <t>Total EU Aid</t>
  </si>
  <si>
    <t xml:space="preserve"> </t>
  </si>
  <si>
    <t>Partner Organisation Agreement between USP and Monash University for Revitalising Informal Settlements and their Environments (RISE)</t>
  </si>
  <si>
    <t>Memorandum of Understanding between USP and Australian Centre for International Agricultural Research on the project titled “Climate-Smart Landscapes for Promoting Sustainability of Pacific Island Agricultural Systems</t>
  </si>
  <si>
    <t>OTHER FUNDING</t>
  </si>
  <si>
    <t>USD / EUR / SBD/ TOP</t>
  </si>
  <si>
    <t>Collaboration Agreement between USP and University of New South Wales for the administration and logistics support of the course “Sustainable Energy for Developing Countries” in Fiji</t>
  </si>
  <si>
    <r>
      <t xml:space="preserve">Memorandum of Agreement (MOA) between USP and the Pacific Islands Forum Fisheries Agency (FFA) </t>
    </r>
    <r>
      <rPr>
        <b/>
        <sz val="8"/>
        <rFont val="Arial"/>
        <family val="2"/>
      </rPr>
      <t>USD 67,500</t>
    </r>
  </si>
  <si>
    <t>Total Australian Aid</t>
  </si>
  <si>
    <t xml:space="preserve">Contract for Consultant's Services between Secretariat of the Pacific Community and USP for the Implementation of the RESCCUE project in Fiji </t>
  </si>
  <si>
    <t>New Zealand</t>
  </si>
  <si>
    <t>NZD</t>
  </si>
  <si>
    <r>
      <t xml:space="preserve">Service Contract for Delivery of a Pilot School Leadership Programme for School Leaders in the Solomon Islands for Units 1–5 Professional Development between Ministry of Education and Human Resources Development (MEHRD) of Solomon Islands and USP through its Institute of Education (IOE) </t>
    </r>
    <r>
      <rPr>
        <b/>
        <sz val="8"/>
        <rFont val="Arial"/>
        <family val="2"/>
      </rPr>
      <t xml:space="preserve">SBD 2,358,620 </t>
    </r>
  </si>
  <si>
    <t>Partnership Agreement between USP and Ministry of Foreign Affairs and Trade, New Zealand.</t>
  </si>
  <si>
    <r>
      <t xml:space="preserve">Financing Agreement (FA) between The University of the South Pacific (USP) and the Secretariat of the Pacific Community (SPC) for the European Union Pacific Technical and Vocational Education and Training on Sustainable Energy and Climate Change Adaptation or EU PacTVET project </t>
    </r>
    <r>
      <rPr>
        <b/>
        <sz val="8"/>
        <rFont val="Arial"/>
        <family val="2"/>
      </rPr>
      <t>EUR 882,157</t>
    </r>
    <r>
      <rPr>
        <sz val="8"/>
        <rFont val="Arial"/>
        <family val="2"/>
      </rPr>
      <t xml:space="preserve"> </t>
    </r>
  </si>
  <si>
    <t>Grant Funding Arrangement between USP and MFAT, NZ for the Upgrade of USPNet at the Regional Campuses</t>
  </si>
  <si>
    <r>
      <t xml:space="preserve">Agreement Contract between USP and Ministry of Meteorology, Energy, Information, Disaster Management, Environment, Climate Change and Communications (MEIDECC) </t>
    </r>
    <r>
      <rPr>
        <b/>
        <sz val="8"/>
        <rFont val="Arial"/>
        <family val="2"/>
      </rPr>
      <t xml:space="preserve">TOP 72,970 </t>
    </r>
  </si>
  <si>
    <t>Variation No 3 to the Research Subcontract Agreement between Auckland Uniservices Limited (UniServices) and The University of the South Pacific (USP)</t>
  </si>
  <si>
    <r>
      <t xml:space="preserve">Intake Agreement between USP and The Commonwealth of Learning to provide support for tuition fees and associated costs for students of Commonwealth countries of USP Member states enrolled in the Legislative Drafting programme. </t>
    </r>
    <r>
      <rPr>
        <b/>
        <sz val="8"/>
        <rFont val="Arial"/>
        <family val="2"/>
      </rPr>
      <t>CAD 37,800</t>
    </r>
  </si>
  <si>
    <t>Total New Zealand Aid</t>
  </si>
  <si>
    <t>Contract with the Pacific Community (SPC) on the Project titled “Tilipa Fish Marketing Research"</t>
  </si>
  <si>
    <t>USA</t>
  </si>
  <si>
    <t>USD</t>
  </si>
  <si>
    <t>Agreement between USP and Vodafone Fiji Limited for the installation of a Radio Base Station</t>
  </si>
  <si>
    <t>MOU between USP and The Ocean Foundation</t>
  </si>
  <si>
    <t>Contract with the Pacific Community (SPC) to roll out a new Post Graduate course, EV420 Research Project in Environment as Climate and Disaster Resilience Monitoring and Evaluation in the PICs</t>
  </si>
  <si>
    <t>Letter of Agreement with The Ocean Foundation for the project “Blue Carbon Habitat Restoration Project for Local Mitigation of Ocean Acidification in Fiji"</t>
  </si>
  <si>
    <t>Total Other Funding</t>
  </si>
  <si>
    <t>Total US Funding</t>
  </si>
  <si>
    <t>Japan</t>
  </si>
  <si>
    <r>
      <t xml:space="preserve">Grant for the Project titled "Capacity Building of the Pacific Island Countries on implementation of the UN Security Council Resolutions 2270, 2321,2371, and 2375 regarding North Korea" </t>
    </r>
    <r>
      <rPr>
        <b/>
        <sz val="8"/>
        <rFont val="Arial"/>
        <family val="2"/>
      </rPr>
      <t>USD 2,0145,450</t>
    </r>
  </si>
  <si>
    <t xml:space="preserve">SUMMARY OF INDICATIVE AID BUDGET </t>
  </si>
  <si>
    <r>
      <t xml:space="preserve">Japan's Friendship Ties "JENESYS 2018" (Japan-East Asia Netwwork of Exchange for Students and Youths) Agreement between USP and Embassy of Japan in Fiji </t>
    </r>
    <r>
      <rPr>
        <b/>
        <sz val="8"/>
        <rFont val="Arial"/>
        <family val="2"/>
      </rPr>
      <t>JPY 129,563,000</t>
    </r>
  </si>
  <si>
    <t>BILATERAL FUNDING</t>
  </si>
  <si>
    <t>Total Japan Funding</t>
  </si>
  <si>
    <t>MULTILATERAL FUNDING</t>
  </si>
  <si>
    <t xml:space="preserve">People’s Republic of China </t>
  </si>
  <si>
    <t xml:space="preserve">Agreement between the Confucius Institute Headquarters of China and USP on the dedicated site of a model Confucius Institute </t>
  </si>
  <si>
    <t xml:space="preserve">Total People’s Republic of China's Funding </t>
  </si>
  <si>
    <t>Total Bilateral Funding</t>
  </si>
  <si>
    <t>Total Indicative Aid Budget as at 31 December 2018</t>
  </si>
  <si>
    <t xml:space="preserve">Exchange Rate: </t>
  </si>
  <si>
    <t>Australia                     1 FJD = 0.6064 AUD on 18/01/2018; 1 FJD = 0.6052 AUD on 1/02/2018; 1 FJD = 0.6243 AUD on 09/04/2018;</t>
  </si>
  <si>
    <t xml:space="preserve">                                   1 FJD = 0.6308 AUD on 20/08/2018;</t>
  </si>
  <si>
    <t xml:space="preserve">New Zealand              1 FJD = 0.6622 NZD on 18/01/2018;  </t>
  </si>
  <si>
    <t>USA                           1 FJD = 0.4869 USD on 18/01/2018; 1 FJD = 0.4597 USD;</t>
  </si>
  <si>
    <t>Solomon Islands        1 FJD = 3.0530 SBD on 22/01/2018;</t>
  </si>
  <si>
    <t>EU                             1 FJD = 0.3973 EUR on 22/01/2018; 1 FJD = 0.3913 EUR on 16/02/2018; 1 FJD = 0.3954 EUR on 12/09/2018;</t>
  </si>
  <si>
    <t>TOP                           1 FJD = 0.9931 TOP on 6/02/2018;</t>
  </si>
  <si>
    <t>Canada                      1 FJD = 0.6102 CAD on 25/05/2018</t>
  </si>
  <si>
    <t>Japan                         1 FJD = 50.74 JPY on 26/06/2018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</si>
</sst>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164" formatCode="_-* #,##0.00_-;\-* #,##0.00_-;_-* &quot;-&quot;??_-;_-@_-"/>
    <numFmt numFmtId="165" formatCode="_-* #,##0_-;\-* #,##0_-;_-* &quot;-&quot;??_-;_-@_-"/>
  </numFmts>
  <fonts count="12" x14ac:knownFonts="1">
    <font>
      <sz val="10"/>
      <name val="Arial"/>
    </font>
    <font>
      <b/>
      <u/>
      <sz val="15"/>
      <name val="Arial"/>
      <family val="2"/>
    </font>
    <font>
      <b/>
      <u/>
      <sz val="8"/>
      <name val="Arial"/>
      <family val="2"/>
    </font>
    <font>
      <sz val="8"/>
      <name val="Arial"/>
      <family val="2"/>
    </font>
    <font>
      <sz val="10"/>
      <name val="Arial"/>
      <family val="2"/>
    </font>
    <font>
      <sz val="8"/>
      <color theme="1"/>
      <name val="Arial"/>
      <family val="2"/>
    </font>
    <font>
      <b/>
      <sz val="8"/>
      <name val="Arial"/>
      <family val="2"/>
    </font>
    <font>
      <sz val="8"/>
      <color theme="0"/>
      <name val="Arial"/>
      <family val="2"/>
    </font>
    <font>
      <b/>
      <sz val="8"/>
      <color theme="0"/>
      <name val="Arial"/>
      <family val="2"/>
    </font>
    <font>
      <b/>
      <sz val="1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indexed="47"/>
        <bgColor indexed="64"/>
      </patternFill>
    </fill>
    <fill>
      <patternFill patternType="solid">
        <fgColor rgb="FFFFFF99"/>
        <bgColor indexed="64"/>
      </patternFill>
    </fill>
    <fill>
      <patternFill patternType="solid">
        <fgColor theme="5"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5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xf numFmtId="0" fontId="0" fillId="0" borderId="4" xfId="0" applyBorder="1"/>
    <xf numFmtId="3" fontId="2" fillId="2" borderId="1" xfId="0" applyNumberFormat="1" applyFont="1" applyFill="1" applyBorder="1" applyAlignment="1"/>
    <xf numFmtId="3" fontId="2" fillId="2" borderId="1" xfId="0" applyNumberFormat="1" applyFont="1" applyFill="1" applyBorder="1" applyAlignment="1">
      <alignment horizontal="center"/>
    </xf>
    <xf numFmtId="3" fontId="2" fillId="3" borderId="1" xfId="0" applyNumberFormat="1" applyFont="1" applyFill="1" applyBorder="1" applyAlignment="1">
      <alignment wrapText="1"/>
    </xf>
    <xf numFmtId="3" fontId="2" fillId="3" borderId="1" xfId="0" applyNumberFormat="1" applyFont="1" applyFill="1" applyBorder="1" applyAlignment="1">
      <alignment horizontal="center" wrapText="1"/>
    </xf>
    <xf numFmtId="0" fontId="3" fillId="3" borderId="1" xfId="0" applyFont="1" applyFill="1" applyBorder="1" applyAlignment="1">
      <alignment vertical="top" wrapText="1"/>
    </xf>
    <xf numFmtId="0" fontId="2" fillId="3" borderId="1" xfId="0" applyFont="1" applyFill="1" applyBorder="1"/>
    <xf numFmtId="0" fontId="2" fillId="3" borderId="1" xfId="0" applyFont="1" applyFill="1" applyBorder="1" applyAlignment="1">
      <alignment horizontal="center"/>
    </xf>
    <xf numFmtId="41" fontId="3" fillId="3" borderId="1" xfId="1" applyNumberFormat="1" applyFont="1" applyFill="1" applyBorder="1"/>
    <xf numFmtId="3" fontId="3" fillId="0" borderId="1" xfId="0" applyNumberFormat="1" applyFont="1" applyFill="1" applyBorder="1" applyAlignment="1">
      <alignment wrapText="1"/>
    </xf>
    <xf numFmtId="41" fontId="3" fillId="0" borderId="1" xfId="1" applyNumberFormat="1" applyFont="1" applyFill="1" applyBorder="1" applyAlignment="1">
      <alignment wrapText="1"/>
    </xf>
    <xf numFmtId="0" fontId="3" fillId="0" borderId="1" xfId="0" applyFont="1" applyFill="1" applyBorder="1" applyAlignment="1">
      <alignment wrapText="1"/>
    </xf>
    <xf numFmtId="165" fontId="5" fillId="0" borderId="1" xfId="1" applyNumberFormat="1" applyFont="1" applyFill="1" applyBorder="1" applyAlignment="1">
      <alignment horizontal="right" wrapText="1"/>
    </xf>
    <xf numFmtId="41" fontId="3" fillId="0" borderId="1" xfId="1" applyNumberFormat="1" applyFont="1" applyFill="1" applyBorder="1" applyAlignment="1">
      <alignment horizontal="right" wrapText="1"/>
    </xf>
    <xf numFmtId="0" fontId="6" fillId="3" borderId="1" xfId="0" applyFont="1" applyFill="1" applyBorder="1"/>
    <xf numFmtId="3" fontId="6" fillId="3" borderId="1" xfId="0" applyNumberFormat="1" applyFont="1" applyFill="1" applyBorder="1"/>
    <xf numFmtId="0" fontId="6" fillId="4" borderId="1" xfId="0" applyFont="1" applyFill="1" applyBorder="1"/>
    <xf numFmtId="3" fontId="6" fillId="4" borderId="1" xfId="0" applyNumberFormat="1" applyFont="1" applyFill="1" applyBorder="1"/>
    <xf numFmtId="3" fontId="2" fillId="2" borderId="1" xfId="0" applyNumberFormat="1" applyFont="1" applyFill="1" applyBorder="1" applyAlignment="1">
      <alignment horizontal="center" wrapText="1"/>
    </xf>
    <xf numFmtId="9" fontId="3" fillId="0" borderId="1" xfId="3" applyFont="1" applyFill="1" applyBorder="1" applyAlignment="1">
      <alignment wrapText="1"/>
    </xf>
    <xf numFmtId="3" fontId="6" fillId="3" borderId="1" xfId="0" applyNumberFormat="1" applyFont="1" applyFill="1" applyBorder="1" applyAlignment="1">
      <alignment wrapText="1"/>
    </xf>
    <xf numFmtId="3" fontId="6" fillId="5" borderId="1" xfId="0" applyNumberFormat="1" applyFont="1" applyFill="1" applyBorder="1" applyAlignment="1">
      <alignment wrapText="1"/>
    </xf>
    <xf numFmtId="41" fontId="3" fillId="3" borderId="1" xfId="0" applyNumberFormat="1" applyFont="1" applyFill="1" applyBorder="1" applyAlignment="1">
      <alignment vertical="top" wrapText="1"/>
    </xf>
    <xf numFmtId="0" fontId="5" fillId="0" borderId="1" xfId="0" applyFont="1" applyFill="1" applyBorder="1" applyAlignment="1">
      <alignment wrapText="1"/>
    </xf>
    <xf numFmtId="3" fontId="5" fillId="0" borderId="1" xfId="0" applyNumberFormat="1" applyFont="1" applyFill="1" applyBorder="1" applyAlignment="1">
      <alignment wrapText="1"/>
    </xf>
    <xf numFmtId="41" fontId="3"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3" fillId="0" borderId="1" xfId="0" applyFont="1" applyFill="1" applyBorder="1" applyAlignment="1">
      <alignment vertical="top" wrapText="1"/>
    </xf>
    <xf numFmtId="9" fontId="2" fillId="3" borderId="1" xfId="3" applyFont="1" applyFill="1" applyBorder="1" applyAlignment="1"/>
    <xf numFmtId="9" fontId="2" fillId="3" borderId="1" xfId="3" applyFont="1" applyFill="1" applyBorder="1" applyAlignment="1">
      <alignment horizontal="center"/>
    </xf>
    <xf numFmtId="0" fontId="3" fillId="0" borderId="5" xfId="0" applyFont="1" applyFill="1" applyBorder="1" applyAlignment="1">
      <alignment wrapText="1"/>
    </xf>
    <xf numFmtId="165" fontId="3" fillId="0" borderId="5" xfId="1" applyNumberFormat="1" applyFont="1" applyFill="1" applyBorder="1"/>
    <xf numFmtId="165" fontId="3" fillId="0" borderId="1" xfId="1" applyNumberFormat="1" applyFont="1" applyFill="1" applyBorder="1"/>
    <xf numFmtId="3" fontId="2" fillId="6" borderId="1" xfId="0" applyNumberFormat="1" applyFont="1" applyFill="1" applyBorder="1"/>
    <xf numFmtId="41" fontId="6" fillId="6" borderId="1" xfId="1" applyNumberFormat="1" applyFont="1" applyFill="1" applyBorder="1"/>
    <xf numFmtId="3" fontId="2" fillId="0" borderId="1" xfId="0" applyNumberFormat="1" applyFont="1" applyFill="1" applyBorder="1"/>
    <xf numFmtId="41" fontId="6" fillId="0" borderId="1" xfId="1" applyNumberFormat="1" applyFont="1" applyFill="1" applyBorder="1"/>
    <xf numFmtId="3" fontId="2" fillId="7" borderId="1" xfId="0" applyNumberFormat="1" applyFont="1" applyFill="1" applyBorder="1" applyAlignment="1">
      <alignment horizontal="left"/>
    </xf>
    <xf numFmtId="41" fontId="7" fillId="7" borderId="1" xfId="1" applyNumberFormat="1" applyFont="1" applyFill="1" applyBorder="1"/>
    <xf numFmtId="3" fontId="8" fillId="7" borderId="1" xfId="0" applyNumberFormat="1" applyFont="1" applyFill="1" applyBorder="1" applyAlignment="1">
      <alignment horizontal="left" indent="1"/>
    </xf>
    <xf numFmtId="41" fontId="8" fillId="7" borderId="1" xfId="1" applyNumberFormat="1" applyFont="1" applyFill="1" applyBorder="1"/>
    <xf numFmtId="3" fontId="3" fillId="0" borderId="1" xfId="0" applyNumberFormat="1" applyFont="1" applyFill="1" applyBorder="1"/>
    <xf numFmtId="0" fontId="4" fillId="0" borderId="0" xfId="0" applyFont="1"/>
    <xf numFmtId="41" fontId="6" fillId="6" borderId="1" xfId="0" applyNumberFormat="1" applyFont="1" applyFill="1" applyBorder="1"/>
    <xf numFmtId="165" fontId="6" fillId="6" borderId="1" xfId="1" applyNumberFormat="1" applyFont="1" applyFill="1" applyBorder="1"/>
    <xf numFmtId="3" fontId="8" fillId="7" borderId="1" xfId="0" applyNumberFormat="1" applyFont="1" applyFill="1" applyBorder="1" applyAlignment="1">
      <alignment horizontal="left" vertical="center" wrapText="1"/>
    </xf>
    <xf numFmtId="41" fontId="8" fillId="7" borderId="1" xfId="2" applyNumberFormat="1" applyFont="1" applyFill="1" applyBorder="1" applyAlignment="1">
      <alignment vertical="center"/>
    </xf>
    <xf numFmtId="0" fontId="9"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tabSelected="1" topLeftCell="A16" zoomScaleNormal="100" workbookViewId="0">
      <selection activeCell="K19" sqref="K19"/>
    </sheetView>
  </sheetViews>
  <sheetFormatPr defaultRowHeight="13.2" x14ac:dyDescent="0.25"/>
  <cols>
    <col min="1" max="1" width="42.6640625" bestFit="1" customWidth="1"/>
    <col min="2" max="2" width="9.5546875" bestFit="1" customWidth="1"/>
    <col min="3" max="3" width="9.77734375" bestFit="1" customWidth="1"/>
    <col min="4" max="4" width="43.6640625" customWidth="1"/>
    <col min="5" max="5" width="9.21875" bestFit="1" customWidth="1"/>
    <col min="6" max="6" width="9.77734375" bestFit="1" customWidth="1"/>
  </cols>
  <sheetData>
    <row r="1" spans="1:9" ht="19.2" x14ac:dyDescent="0.25">
      <c r="A1" s="1" t="s">
        <v>0</v>
      </c>
      <c r="B1" s="1"/>
      <c r="C1" s="1"/>
      <c r="D1" s="2"/>
      <c r="E1" s="3"/>
      <c r="F1" s="4"/>
    </row>
    <row r="2" spans="1:9" x14ac:dyDescent="0.25">
      <c r="A2" s="5" t="s">
        <v>1</v>
      </c>
      <c r="B2" s="6" t="s">
        <v>2</v>
      </c>
      <c r="C2" s="6" t="s">
        <v>3</v>
      </c>
      <c r="D2" s="5" t="s">
        <v>4</v>
      </c>
      <c r="E2" s="6" t="s">
        <v>2</v>
      </c>
      <c r="F2" s="6" t="s">
        <v>3</v>
      </c>
    </row>
    <row r="3" spans="1:9" x14ac:dyDescent="0.25">
      <c r="A3" s="7" t="s">
        <v>5</v>
      </c>
      <c r="B3" s="8" t="s">
        <v>6</v>
      </c>
      <c r="C3" s="9"/>
      <c r="D3" s="10" t="s">
        <v>7</v>
      </c>
      <c r="E3" s="11" t="s">
        <v>8</v>
      </c>
      <c r="F3" s="12"/>
    </row>
    <row r="4" spans="1:9" ht="41.4" x14ac:dyDescent="0.25">
      <c r="A4" s="13" t="s">
        <v>9</v>
      </c>
      <c r="B4" s="13">
        <f>7000000+7000000</f>
        <v>14000000</v>
      </c>
      <c r="C4" s="14">
        <f>B4/0.6064</f>
        <v>23087071.24010554</v>
      </c>
      <c r="D4" s="15" t="s">
        <v>10</v>
      </c>
      <c r="E4" s="13">
        <v>22765</v>
      </c>
      <c r="F4" s="13">
        <f>22765/0.3913</f>
        <v>58177.868642984926</v>
      </c>
    </row>
    <row r="5" spans="1:9" ht="41.4" x14ac:dyDescent="0.25">
      <c r="A5" s="15" t="s">
        <v>11</v>
      </c>
      <c r="B5" s="16">
        <v>450000</v>
      </c>
      <c r="C5" s="17">
        <f>450000/0.6064</f>
        <v>742084.43271767802</v>
      </c>
      <c r="D5" s="15" t="s">
        <v>12</v>
      </c>
      <c r="E5" s="13"/>
      <c r="F5" s="13">
        <v>69772</v>
      </c>
    </row>
    <row r="6" spans="1:9" ht="31.2" x14ac:dyDescent="0.25">
      <c r="A6" s="15" t="s">
        <v>13</v>
      </c>
      <c r="B6" s="16">
        <v>5000</v>
      </c>
      <c r="C6" s="17">
        <f>B6/0.6064</f>
        <v>8245.3825857519787</v>
      </c>
      <c r="D6" s="15" t="s">
        <v>14</v>
      </c>
      <c r="E6" s="13">
        <v>1875521.89</v>
      </c>
      <c r="F6" s="13">
        <f>E6/0.3954</f>
        <v>4743353.2878098125</v>
      </c>
    </row>
    <row r="7" spans="1:9" ht="21" x14ac:dyDescent="0.25">
      <c r="A7" s="15" t="s">
        <v>15</v>
      </c>
      <c r="B7" s="16">
        <v>150000</v>
      </c>
      <c r="C7" s="17">
        <f>150000/0.6052</f>
        <v>247851.94976867153</v>
      </c>
      <c r="D7" s="18" t="s">
        <v>16</v>
      </c>
      <c r="E7" s="19"/>
      <c r="F7" s="19">
        <f>SUM(F4:F6)</f>
        <v>4871303.1564527974</v>
      </c>
      <c r="I7" t="s">
        <v>17</v>
      </c>
    </row>
    <row r="8" spans="1:9" ht="31.2" x14ac:dyDescent="0.25">
      <c r="A8" s="15" t="s">
        <v>18</v>
      </c>
      <c r="B8" s="16">
        <v>5000</v>
      </c>
      <c r="C8" s="17">
        <f>5000/0.6243</f>
        <v>8008.9700464520265</v>
      </c>
      <c r="D8" s="20"/>
      <c r="E8" s="21"/>
      <c r="F8" s="21"/>
    </row>
    <row r="9" spans="1:9" ht="48" customHeight="1" x14ac:dyDescent="0.25">
      <c r="A9" s="15" t="s">
        <v>19</v>
      </c>
      <c r="B9" s="16">
        <f>14299+50318</f>
        <v>64617</v>
      </c>
      <c r="C9" s="17">
        <f>64617/0.6243</f>
        <v>103503.12349831812</v>
      </c>
      <c r="D9" s="5" t="s">
        <v>20</v>
      </c>
      <c r="E9" s="22" t="s">
        <v>21</v>
      </c>
      <c r="F9" s="6"/>
    </row>
    <row r="10" spans="1:9" ht="31.2" x14ac:dyDescent="0.25">
      <c r="A10" s="15" t="s">
        <v>22</v>
      </c>
      <c r="B10" s="16">
        <v>19375</v>
      </c>
      <c r="C10" s="17">
        <f>19375/0.6308</f>
        <v>30714.965123652502</v>
      </c>
      <c r="D10" s="23" t="s">
        <v>23</v>
      </c>
      <c r="E10" s="13">
        <v>67500</v>
      </c>
      <c r="F10" s="13">
        <f>67500/0.4869</f>
        <v>138632.16266173753</v>
      </c>
    </row>
    <row r="11" spans="1:9" ht="31.2" x14ac:dyDescent="0.25">
      <c r="A11" s="24" t="s">
        <v>24</v>
      </c>
      <c r="B11" s="25">
        <f>SUM(B4:B10)</f>
        <v>14693992</v>
      </c>
      <c r="C11" s="25">
        <f>SUM(C4:C10)</f>
        <v>24227480.063846063</v>
      </c>
      <c r="D11" s="15" t="s">
        <v>25</v>
      </c>
      <c r="E11" s="13"/>
      <c r="F11" s="13">
        <v>600000</v>
      </c>
    </row>
    <row r="12" spans="1:9" ht="51.6" x14ac:dyDescent="0.25">
      <c r="A12" s="7" t="s">
        <v>26</v>
      </c>
      <c r="B12" s="8" t="s">
        <v>27</v>
      </c>
      <c r="C12" s="26"/>
      <c r="D12" s="15" t="s">
        <v>28</v>
      </c>
      <c r="E12" s="13">
        <v>2358620</v>
      </c>
      <c r="F12" s="13">
        <f>2358620/3.053</f>
        <v>772558.13953488378</v>
      </c>
    </row>
    <row r="13" spans="1:9" ht="51.6" x14ac:dyDescent="0.25">
      <c r="A13" s="27" t="s">
        <v>29</v>
      </c>
      <c r="B13" s="28">
        <v>5000000</v>
      </c>
      <c r="C13" s="29">
        <f>5000000/0.6622</f>
        <v>7550588.9459377835</v>
      </c>
      <c r="D13" s="15" t="s">
        <v>30</v>
      </c>
      <c r="E13" s="13">
        <v>882157</v>
      </c>
      <c r="F13" s="13">
        <f>E13/0.3973</f>
        <v>2220380.0654417318</v>
      </c>
    </row>
    <row r="14" spans="1:9" ht="43.5" customHeight="1" x14ac:dyDescent="0.25">
      <c r="A14" s="30" t="s">
        <v>31</v>
      </c>
      <c r="B14" s="28">
        <v>2000000</v>
      </c>
      <c r="C14" s="14">
        <f>B14/0.6622</f>
        <v>3020235.5783751132</v>
      </c>
      <c r="D14" s="15" t="s">
        <v>32</v>
      </c>
      <c r="E14" s="13">
        <v>72970</v>
      </c>
      <c r="F14" s="13">
        <f>72970/0.9931</f>
        <v>73476.99123955291</v>
      </c>
    </row>
    <row r="15" spans="1:9" ht="40.799999999999997" x14ac:dyDescent="0.25">
      <c r="A15" s="30" t="s">
        <v>33</v>
      </c>
      <c r="B15" s="28">
        <v>38955</v>
      </c>
      <c r="C15" s="14">
        <f>15001.6/0.6495</f>
        <v>23097.151655119324</v>
      </c>
      <c r="D15" s="31" t="s">
        <v>34</v>
      </c>
      <c r="E15" s="13">
        <v>37800</v>
      </c>
      <c r="F15" s="13">
        <f>37800/0.6102</f>
        <v>61946.902654867263</v>
      </c>
    </row>
    <row r="16" spans="1:9" ht="21" x14ac:dyDescent="0.25">
      <c r="A16" s="24" t="s">
        <v>35</v>
      </c>
      <c r="B16" s="24">
        <f>SUM(B13:B15)</f>
        <v>7038955</v>
      </c>
      <c r="C16" s="24">
        <f>SUM(C13:C15)</f>
        <v>10593921.675968016</v>
      </c>
      <c r="D16" s="15" t="s">
        <v>36</v>
      </c>
      <c r="E16" s="13"/>
      <c r="F16" s="13">
        <v>40000</v>
      </c>
    </row>
    <row r="17" spans="1:9" ht="21" x14ac:dyDescent="0.25">
      <c r="A17" s="32" t="s">
        <v>37</v>
      </c>
      <c r="B17" s="33" t="s">
        <v>38</v>
      </c>
      <c r="C17" s="33"/>
      <c r="D17" s="15" t="s">
        <v>39</v>
      </c>
      <c r="E17" s="13"/>
      <c r="F17" s="13">
        <f>9000+4500+7200</f>
        <v>20700</v>
      </c>
    </row>
    <row r="18" spans="1:9" ht="41.4" x14ac:dyDescent="0.25">
      <c r="A18" s="34" t="s">
        <v>40</v>
      </c>
      <c r="B18" s="35">
        <v>12500</v>
      </c>
      <c r="C18" s="36">
        <f>B18/0.4869</f>
        <v>25672.622715136578</v>
      </c>
      <c r="D18" s="15" t="s">
        <v>41</v>
      </c>
      <c r="E18" s="13"/>
      <c r="F18" s="13">
        <v>207026.7</v>
      </c>
    </row>
    <row r="19" spans="1:9" ht="31.2" x14ac:dyDescent="0.25">
      <c r="A19" s="34" t="s">
        <v>42</v>
      </c>
      <c r="B19" s="35">
        <v>97500</v>
      </c>
      <c r="C19" s="36">
        <f>97500/0.4597</f>
        <v>212094.84446378073</v>
      </c>
      <c r="D19" s="37" t="s">
        <v>43</v>
      </c>
      <c r="E19" s="37"/>
      <c r="F19" s="38">
        <f>SUM(F10:F18)</f>
        <v>4134720.9615327735</v>
      </c>
    </row>
    <row r="20" spans="1:9" x14ac:dyDescent="0.25">
      <c r="A20" s="19" t="s">
        <v>44</v>
      </c>
      <c r="B20" s="19">
        <f>SUM(B18:B19)</f>
        <v>110000</v>
      </c>
      <c r="C20" s="19">
        <f>SUM(C18:C19)</f>
        <v>237767.46717891732</v>
      </c>
      <c r="D20" s="39"/>
      <c r="E20" s="39"/>
      <c r="F20" s="40"/>
    </row>
    <row r="21" spans="1:9" x14ac:dyDescent="0.25">
      <c r="A21" s="32" t="s">
        <v>45</v>
      </c>
      <c r="B21" s="33"/>
      <c r="C21" s="33"/>
      <c r="D21" s="39"/>
      <c r="E21" s="39"/>
      <c r="F21" s="40"/>
      <c r="H21" t="s">
        <v>17</v>
      </c>
    </row>
    <row r="22" spans="1:9" ht="41.4" x14ac:dyDescent="0.25">
      <c r="A22" s="23" t="s">
        <v>46</v>
      </c>
      <c r="B22" s="28">
        <v>2045450</v>
      </c>
      <c r="C22" s="14">
        <f>2045450/0.4814</f>
        <v>4248961.3626921475</v>
      </c>
      <c r="D22" s="41" t="s">
        <v>47</v>
      </c>
      <c r="E22" s="41"/>
      <c r="F22" s="42"/>
    </row>
    <row r="23" spans="1:9" ht="31.2" x14ac:dyDescent="0.25">
      <c r="A23" s="13" t="s">
        <v>48</v>
      </c>
      <c r="B23" s="28">
        <v>129563000</v>
      </c>
      <c r="C23" s="14">
        <f>129563000/50.74</f>
        <v>2553468.6637761137</v>
      </c>
      <c r="D23" s="43" t="s">
        <v>49</v>
      </c>
      <c r="E23" s="43"/>
      <c r="F23" s="44">
        <f>C28</f>
        <v>42591110.015962802</v>
      </c>
      <c r="I23" t="s">
        <v>17</v>
      </c>
    </row>
    <row r="24" spans="1:9" x14ac:dyDescent="0.25">
      <c r="A24" s="19" t="s">
        <v>50</v>
      </c>
      <c r="B24" s="19"/>
      <c r="C24" s="19">
        <f>C22+C23</f>
        <v>6802430.0264682611</v>
      </c>
      <c r="D24" s="43" t="s">
        <v>51</v>
      </c>
      <c r="E24" s="43"/>
      <c r="F24" s="44">
        <f>F7</f>
        <v>4871303.1564527974</v>
      </c>
    </row>
    <row r="25" spans="1:9" x14ac:dyDescent="0.25">
      <c r="A25" s="32" t="s">
        <v>52</v>
      </c>
      <c r="B25" s="33" t="s">
        <v>38</v>
      </c>
      <c r="C25" s="33"/>
      <c r="D25" s="43"/>
      <c r="E25" s="43"/>
      <c r="F25" s="44"/>
    </row>
    <row r="26" spans="1:9" ht="31.2" x14ac:dyDescent="0.25">
      <c r="A26" s="23" t="s">
        <v>53</v>
      </c>
      <c r="B26" s="45">
        <f>0.2*1775994</f>
        <v>355198.80000000005</v>
      </c>
      <c r="C26" s="45">
        <f>B26/0.4869</f>
        <v>729510.7825015405</v>
      </c>
      <c r="D26" s="43" t="s">
        <v>20</v>
      </c>
      <c r="E26" s="43"/>
      <c r="F26" s="44">
        <f>F19</f>
        <v>4134720.9615327735</v>
      </c>
      <c r="H26" s="46" t="s">
        <v>17</v>
      </c>
    </row>
    <row r="27" spans="1:9" x14ac:dyDescent="0.25">
      <c r="A27" s="19" t="s">
        <v>54</v>
      </c>
      <c r="B27" s="19">
        <f>B26</f>
        <v>355198.80000000005</v>
      </c>
      <c r="C27" s="19">
        <f>C26</f>
        <v>729510.7825015405</v>
      </c>
      <c r="D27" s="43"/>
      <c r="E27" s="43"/>
      <c r="F27" s="44"/>
    </row>
    <row r="28" spans="1:9" x14ac:dyDescent="0.25">
      <c r="A28" s="37" t="s">
        <v>55</v>
      </c>
      <c r="B28" s="47"/>
      <c r="C28" s="48">
        <f>C11+C16+C20+C27+C24</f>
        <v>42591110.015962802</v>
      </c>
      <c r="D28" s="49" t="s">
        <v>56</v>
      </c>
      <c r="E28" s="49"/>
      <c r="F28" s="50">
        <f>SUM(F23:F26)</f>
        <v>51597134.133948371</v>
      </c>
    </row>
    <row r="30" spans="1:9" x14ac:dyDescent="0.25">
      <c r="A30" s="51" t="s">
        <v>57</v>
      </c>
    </row>
    <row r="31" spans="1:9" x14ac:dyDescent="0.25">
      <c r="A31" s="46" t="s">
        <v>58</v>
      </c>
    </row>
    <row r="32" spans="1:9" x14ac:dyDescent="0.25">
      <c r="A32" s="46" t="s">
        <v>59</v>
      </c>
    </row>
    <row r="33" spans="1:1" x14ac:dyDescent="0.25">
      <c r="A33" t="s">
        <v>60</v>
      </c>
    </row>
    <row r="34" spans="1:1" x14ac:dyDescent="0.25">
      <c r="A34" s="46" t="s">
        <v>61</v>
      </c>
    </row>
    <row r="35" spans="1:1" x14ac:dyDescent="0.25">
      <c r="A35" s="46" t="s">
        <v>62</v>
      </c>
    </row>
    <row r="36" spans="1:1" x14ac:dyDescent="0.25">
      <c r="A36" s="46" t="s">
        <v>63</v>
      </c>
    </row>
    <row r="37" spans="1:1" x14ac:dyDescent="0.25">
      <c r="A37" s="46" t="s">
        <v>64</v>
      </c>
    </row>
    <row r="38" spans="1:1" x14ac:dyDescent="0.25">
      <c r="A38" s="46" t="s">
        <v>65</v>
      </c>
    </row>
    <row r="39" spans="1:1" x14ac:dyDescent="0.25">
      <c r="A39" s="46" t="s">
        <v>66</v>
      </c>
    </row>
  </sheetData>
  <mergeCells count="1">
    <mergeCell ref="A1:D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Indicative Aid 2018</vt:lpstr>
    </vt:vector>
  </TitlesOfParts>
  <Company>The University of the South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Pretishma Singh</dc:creator>
  <cp:lastModifiedBy>Pretishma Singh</cp:lastModifiedBy>
  <dcterms:created xsi:type="dcterms:W3CDTF">2021-07-14T03:18:26Z</dcterms:created>
  <dcterms:modified xsi:type="dcterms:W3CDTF">2021-07-14T03:18:47Z</dcterms:modified>
</cp:coreProperties>
</file>