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ingh_pt\Desktop\WFH\Indicative Aid Budget\"/>
    </mc:Choice>
  </mc:AlternateContent>
  <bookViews>
    <workbookView xWindow="0" yWindow="0" windowWidth="23040" windowHeight="8616"/>
  </bookViews>
  <sheets>
    <sheet name="Indicative Aid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  <c r="C27" i="1"/>
  <c r="F24" i="1"/>
  <c r="F23" i="1"/>
  <c r="B23" i="1"/>
  <c r="F22" i="1"/>
  <c r="C22" i="1"/>
  <c r="F21" i="1"/>
  <c r="C21" i="1"/>
  <c r="C23" i="1" s="1"/>
  <c r="F19" i="1"/>
  <c r="B19" i="1"/>
  <c r="F18" i="1"/>
  <c r="F26" i="1" s="1"/>
  <c r="F31" i="1" s="1"/>
  <c r="C18" i="1"/>
  <c r="C17" i="1"/>
  <c r="F16" i="1"/>
  <c r="C15" i="1"/>
  <c r="C14" i="1"/>
  <c r="C19" i="1" s="1"/>
  <c r="F13" i="1"/>
  <c r="B12" i="1"/>
  <c r="F10" i="1"/>
  <c r="C10" i="1"/>
  <c r="F9" i="1"/>
  <c r="C9" i="1"/>
  <c r="C8" i="1"/>
  <c r="F7" i="1"/>
  <c r="C7" i="1"/>
  <c r="F6" i="1"/>
  <c r="F11" i="1" s="1"/>
  <c r="F17" i="1" s="1"/>
  <c r="F29" i="1" s="1"/>
  <c r="C6" i="1"/>
  <c r="F5" i="1"/>
  <c r="C5" i="1"/>
  <c r="C4" i="1"/>
  <c r="C12" i="1" s="1"/>
  <c r="C32" i="1" l="1"/>
  <c r="F28" i="1" s="1"/>
  <c r="F32" i="1" s="1"/>
</calcChain>
</file>

<file path=xl/comments1.xml><?xml version="1.0" encoding="utf-8"?>
<comments xmlns="http://schemas.openxmlformats.org/spreadsheetml/2006/main">
  <authors>
    <author>singh_pt</author>
    <author>Pretishma Singh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singh_pt:</t>
        </r>
        <r>
          <rPr>
            <sz val="9"/>
            <color indexed="81"/>
            <rFont val="Tahoma"/>
            <family val="2"/>
          </rPr>
          <t xml:space="preserve">
1 FJD = 0.6410 AUD 
Exchange rate as at 18 Jan 2019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Exchange rate as at 16 January 2019
1 FJD = 0.6416 AUD</t>
        </r>
      </text>
    </comment>
    <comment ref="F5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0.4070 EUR
Exchange rate as at 16 January 2019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0.6416 AUD as at 16 January 2019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0.4070 EUR
Exchange rate as at 16 January 2019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0.4070 EUR
Exchange rate as at 16 January 2019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0.6416 AUD as at 16 January 2019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Exchange rate as 13 August 2019
1 FJD = 0.6648 AUD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0.6601 AUD
Exchange rate as at 27 November 2019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Exchange rate as 13 August 2019
1 FJD = 0.3747 GBP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0.4623 USD 
Exchange Rate as at 18 January 2019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Exchange rate as at 16 Jan 2019
1 FJD = 0.6748 NZD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As per the email advise from Maria Mafi dated 5/9/19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0.6956 NZD
Exchange rate as at 27 November 2019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0.6956 NZD
Exchange rate as at 27 November 2019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Includes rental charges for the second half of the year and 6 months advance payment for next year's rental + electricity charges for 1 year
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0.4514 USD
Exchange rate as at 11 December 2019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Exchange rate as at 13 August 2019
1 FJD = 2.9315 SBD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As per Dr Patricia's email dated 20/8/19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Excahnge rate as at 28 August 2019.
1 FJD = 2.9178 SBD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</rPr>
          <t>Pretishma Singh:</t>
        </r>
        <r>
          <rPr>
            <sz val="9"/>
            <color indexed="81"/>
            <rFont val="Tahoma"/>
            <family val="2"/>
          </rPr>
          <t xml:space="preserve">
1 FJD = 0.4081 EUR
Exchange rate as 5 December 2019</t>
        </r>
      </text>
    </comment>
  </commentList>
</comments>
</file>

<file path=xl/sharedStrings.xml><?xml version="1.0" encoding="utf-8"?>
<sst xmlns="http://schemas.openxmlformats.org/spreadsheetml/2006/main" count="84" uniqueCount="74">
  <si>
    <t>Indicative Aid Budget 2019</t>
  </si>
  <si>
    <t xml:space="preserve">BILATERAL FUNDING </t>
  </si>
  <si>
    <t>Currency</t>
  </si>
  <si>
    <t>FJD</t>
  </si>
  <si>
    <t>MULTI-LATERAL FUNDING</t>
  </si>
  <si>
    <t>Australian</t>
  </si>
  <si>
    <t>AUD</t>
  </si>
  <si>
    <t>EU</t>
  </si>
  <si>
    <t>EUR/GBP</t>
  </si>
  <si>
    <t xml:space="preserve">Recurrent (Core) Budget </t>
  </si>
  <si>
    <t xml:space="preserve">Letter of Agreement between USP and University of Bergen to cooperate through mutual cooperation in the ocean field and the climate research facilities </t>
  </si>
  <si>
    <t>Collaborative Agreement between USP and University of Sunshine Coast</t>
  </si>
  <si>
    <t>Grant Agreement for Pillar Assessed Organisations for the Action entitled: Intra-ACP Global Climate Change Adaptation Plus (GCCA+) Pacific Climate Change and Resilience (PacRES)</t>
  </si>
  <si>
    <t>Partner Organisation Agreement between USP and Monash University for Revitalising Informal Settlements and their Environments (RISE)</t>
  </si>
  <si>
    <t xml:space="preserve">Grant Agreement for Pillar Assessed Organisations for the Action entitled: Global Climate Change Alliance Plus Scaling Up Pacific Adaptation (GCCA + SUPA) </t>
  </si>
  <si>
    <t>Memorandum of Understanding between USP and Australian Centre for International Agricultural Research on the project titled “Climate-Smart Landscapes for Promoting Sustainability of Pacific Island Agricultural Systems</t>
  </si>
  <si>
    <t xml:space="preserve">Grant Agreement for Pillar Assessed Organisations for the Action entitled: Transparent and Effective Policies and Public Financial Management </t>
  </si>
  <si>
    <t xml:space="preserve"> </t>
  </si>
  <si>
    <t>Collaboration Agreement between USP and University of New South Wales for the administration and logistics support of the course “Sustainable Energy for Developing Countries” in Fiji</t>
  </si>
  <si>
    <t>Contract Service Agreement with Deutsche Gesellschaft für Internationale Zusammenarbeit (GIZ) for the Pacific Resilience Workshop</t>
  </si>
  <si>
    <t>Deed of Variation for Contract No. C2014/086 V1 between USP and Australian Centre for International Agriculture Research (ACIAR) for the project ‘Postgraduate Scholarship Scheme’</t>
  </si>
  <si>
    <t>Agreement between USP and IBF International Consulting SA for the project entitled "Strengthening the Shipping High Ambition Coalition (SHAC) through Pacific Island States effective participation in IMO meetings"</t>
  </si>
  <si>
    <t>Contract between USP and Australian Centre for International Agricultural Research (ACIAR) regarding travel arrangements
for the ACIAR Alumnus Training.</t>
  </si>
  <si>
    <r>
      <t xml:space="preserve">Research Collaboration Agreement between USP and St. Andrews for co-organising a workshop as part of the larger project on “Pacific Connections: Community Film-making and Gender Inequality in the Pacific” </t>
    </r>
    <r>
      <rPr>
        <b/>
        <sz val="8"/>
        <rFont val="Arial"/>
        <family val="2"/>
      </rPr>
      <t>£1,200</t>
    </r>
  </si>
  <si>
    <t>Total EU Aid</t>
  </si>
  <si>
    <t>Total Australian Aid</t>
  </si>
  <si>
    <t>UN</t>
  </si>
  <si>
    <t>New Zealand</t>
  </si>
  <si>
    <t>NZD</t>
  </si>
  <si>
    <t>Grant Agreement between USP and UNOHCHR for the Development of Human Rights Defenders Course for Diploma in Leadership, Governance and Human Rights (DLGHR)</t>
  </si>
  <si>
    <t>Partnership Agreement between USP and Ministry of Foreign Affairs and Trade, New Zealand.</t>
  </si>
  <si>
    <t xml:space="preserve">Standard Letter of Agreement Between UNDP and USP on the implementation of the UN Pacific Regional Anti-Corruption (UN-PRAC) Project </t>
  </si>
  <si>
    <t>Grant Funding Arrangement between USP and MFAT, NZ for the Upgrade of USPNet at the Regional Campuses</t>
  </si>
  <si>
    <t xml:space="preserve">Contract between USP and UN Entity for Gender Equality and the Empowerment of Women </t>
  </si>
  <si>
    <t>Variation No 1 to Research Subcontract Agreement between USP and Auckland Uniservices Limited – LEAP</t>
  </si>
  <si>
    <t>Total UN Aid</t>
  </si>
  <si>
    <t xml:space="preserve">New Zealand Aid Programme Contribution towards Expenses:
Pacific Regional Support for the PacREF Steering Committee Meeting </t>
  </si>
  <si>
    <t>Total Multi-Lateral Funding</t>
  </si>
  <si>
    <t>Subcontract Agreement between Auckland Uniservices Limited (Uniservices) and USP for the Tonga Education Support Activity</t>
  </si>
  <si>
    <r>
      <t xml:space="preserve">Agreement Contract between USP and Ministry of Meteorology, Energy, Information, Disaster Management, Environment, Climate Change and Communications (MEIDECC) </t>
    </r>
    <r>
      <rPr>
        <b/>
        <sz val="8"/>
        <rFont val="Arial"/>
        <family val="2"/>
      </rPr>
      <t xml:space="preserve">TOP 64,405 </t>
    </r>
  </si>
  <si>
    <t>Total New Zealand Aid</t>
  </si>
  <si>
    <t>Agreement between USP and Vodafone Fiji Limited for the installation of a Radio Base Station</t>
  </si>
  <si>
    <t>USA</t>
  </si>
  <si>
    <t>USD</t>
  </si>
  <si>
    <t>Contract with the Pacific Community (SPC) to roll out a new Post Graduate course, EV420 Research Project in Environment as Climate and Disaster Resilience Monitoring and Evaluation in the PICs</t>
  </si>
  <si>
    <t>Agreement with Notre Dame Research for project entitled: "Impact of Religion on Policing Practices in Tuvalu"</t>
  </si>
  <si>
    <t>Agreement between USP and ViMedia (Fiji) to host interactive phone-charging for Kiosks</t>
  </si>
  <si>
    <t xml:space="preserve">Financial Assistance Award between US Department of Commerce and USP </t>
  </si>
  <si>
    <r>
      <t xml:space="preserve">MOU between USP and Solomon Islands Western Provincial Government for video recording of the conceptual and construction process of the building of the 'Tomoko' </t>
    </r>
    <r>
      <rPr>
        <b/>
        <sz val="8"/>
        <rFont val="Arial"/>
        <family val="2"/>
      </rPr>
      <t>SBD 90,000</t>
    </r>
  </si>
  <si>
    <t>Total US Funding</t>
  </si>
  <si>
    <r>
      <t xml:space="preserve">Service Contract for Teacher in Training (TIT) project between Ministry of Education and Human Resources Development and USP </t>
    </r>
    <r>
      <rPr>
        <b/>
        <sz val="8"/>
        <rFont val="Arial"/>
        <family val="2"/>
      </rPr>
      <t>SBD 1,558,146.44</t>
    </r>
  </si>
  <si>
    <r>
      <t>Grant Agreement for European Union Pacific Technical and Vocational Education and Training
Climate Change Adaptation (EU-PacTVET) Project</t>
    </r>
    <r>
      <rPr>
        <b/>
        <sz val="8"/>
        <rFont val="Arial"/>
        <family val="2"/>
      </rPr>
      <t xml:space="preserve"> EUR 626,928</t>
    </r>
  </si>
  <si>
    <t>MOU between USP and Gurbachan Singh Memorial Trust  in support of the USP Scholarship Scheme</t>
  </si>
  <si>
    <t>Japan</t>
  </si>
  <si>
    <t>JPY</t>
  </si>
  <si>
    <t>Total Other Funding</t>
  </si>
  <si>
    <r>
      <t xml:space="preserve">Japan's Friendship Ties "JENESYS 2019" (Japan-East Asia Netwwork of Exchange for Students and Youths) Agreement between USP and Embassy of Japan in Fiji </t>
    </r>
    <r>
      <rPr>
        <b/>
        <sz val="8"/>
        <rFont val="Arial"/>
        <family val="2"/>
      </rPr>
      <t xml:space="preserve"> </t>
    </r>
  </si>
  <si>
    <t xml:space="preserve">SUMMARY OF INDICATIVE AID BUDGET </t>
  </si>
  <si>
    <t>BILATERAL FUNDING</t>
  </si>
  <si>
    <t>Total Japan Funding</t>
  </si>
  <si>
    <t>MULTILATERAL FUNDING</t>
  </si>
  <si>
    <t>OTHER FUNDING</t>
  </si>
  <si>
    <t>Total Bilateral Funding</t>
  </si>
  <si>
    <t>Total Indicative Aid Budget as at 31 December 2019</t>
  </si>
  <si>
    <t xml:space="preserve">Exchange Rate: </t>
  </si>
  <si>
    <t>Australia                     1 FJD = 0.6416 AUD on 16/01/2019; 1 FJD = 0.6410 AUD on 18/01/2019;</t>
  </si>
  <si>
    <t xml:space="preserve">                                   1 FJD = 0.6648 AUD on 13/08/19; 1 FJD = 0.6601 AUD on 27/11/2019;</t>
  </si>
  <si>
    <t>New Zealand              1 FJD = 0.6748 NZD on 16/01/2019; 1 FJD = 0.6726 NZD on 29/01/2019; 1 FJD = 0.6956 NZD on 27/01/2019;</t>
  </si>
  <si>
    <t>USA                           1 FJD = 0.4623 USD on 18/01/2019; 1 FJD = 0.4537 USD on 14/06/2019; 1 FJD = 0.4514 USD on 11/12/2019;</t>
  </si>
  <si>
    <t>EU                              1 FJD =0.4070 EUR on 16/01/2019; 1 FJD =0.4039 EUR on 14/06/2019; 1 FJD = 0.4081 EUR on 05/12/2019;</t>
  </si>
  <si>
    <t>TOP                           1 FJD = 0.9819 TOP on 21/01/2019;</t>
  </si>
  <si>
    <t>Japan                         1 FJD = 48.45 JPY on 14/06/2019;</t>
  </si>
  <si>
    <t>Solomon Islands        1 FJD = 2.9315 SBD on 13/08/2019; 1 FJD = 2.9178 SBD on 28/08/19;</t>
  </si>
  <si>
    <t>United Kingdom         1 FJD = 0.3747 GBP on 13/08/2019;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</si>
</sst>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</numFmts>
  <fonts count="12" x14ac:knownFonts="1">
    <font>
      <sz val="10"/>
      <name val="Arial"/>
    </font>
    <font>
      <b/>
      <u/>
      <sz val="15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1" fontId="3" fillId="3" borderId="1" xfId="1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41" fontId="3" fillId="0" borderId="1" xfId="1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5" fontId="5" fillId="0" borderId="1" xfId="1" applyNumberFormat="1" applyFont="1" applyFill="1" applyBorder="1" applyAlignment="1">
      <alignment horizontal="right" wrapText="1"/>
    </xf>
    <xf numFmtId="41" fontId="3" fillId="0" borderId="1" xfId="1" applyNumberFormat="1" applyFont="1" applyFill="1" applyBorder="1" applyAlignment="1">
      <alignment horizontal="right" wrapText="1"/>
    </xf>
    <xf numFmtId="0" fontId="6" fillId="3" borderId="1" xfId="0" applyFont="1" applyFill="1" applyBorder="1"/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wrapText="1"/>
    </xf>
    <xf numFmtId="3" fontId="6" fillId="4" borderId="1" xfId="0" applyNumberFormat="1" applyFont="1" applyFill="1" applyBorder="1" applyAlignment="1">
      <alignment wrapText="1"/>
    </xf>
    <xf numFmtId="41" fontId="3" fillId="3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3" fontId="2" fillId="5" borderId="1" xfId="0" applyNumberFormat="1" applyFont="1" applyFill="1" applyBorder="1"/>
    <xf numFmtId="3" fontId="6" fillId="5" borderId="1" xfId="0" applyNumberFormat="1" applyFont="1" applyFill="1" applyBorder="1"/>
    <xf numFmtId="41" fontId="6" fillId="5" borderId="1" xfId="1" applyNumberFormat="1" applyFont="1" applyFill="1" applyBorder="1"/>
    <xf numFmtId="9" fontId="2" fillId="3" borderId="1" xfId="3" applyFont="1" applyFill="1" applyBorder="1" applyAlignment="1"/>
    <xf numFmtId="9" fontId="2" fillId="3" borderId="1" xfId="3" applyFont="1" applyFill="1" applyBorder="1" applyAlignment="1">
      <alignment horizontal="center"/>
    </xf>
    <xf numFmtId="3" fontId="6" fillId="0" borderId="1" xfId="0" applyNumberFormat="1" applyFont="1" applyFill="1" applyBorder="1"/>
    <xf numFmtId="0" fontId="4" fillId="0" borderId="0" xfId="0" applyFont="1"/>
    <xf numFmtId="3" fontId="2" fillId="6" borderId="1" xfId="0" applyNumberFormat="1" applyFont="1" applyFill="1" applyBorder="1" applyAlignment="1">
      <alignment horizontal="left"/>
    </xf>
    <xf numFmtId="41" fontId="7" fillId="6" borderId="1" xfId="1" applyNumberFormat="1" applyFont="1" applyFill="1" applyBorder="1"/>
    <xf numFmtId="3" fontId="8" fillId="6" borderId="1" xfId="0" applyNumberFormat="1" applyFont="1" applyFill="1" applyBorder="1" applyAlignment="1">
      <alignment horizontal="left" indent="1"/>
    </xf>
    <xf numFmtId="41" fontId="8" fillId="6" borderId="1" xfId="1" applyNumberFormat="1" applyFont="1" applyFill="1" applyBorder="1"/>
    <xf numFmtId="41" fontId="6" fillId="5" borderId="1" xfId="0" applyNumberFormat="1" applyFont="1" applyFill="1" applyBorder="1"/>
    <xf numFmtId="165" fontId="6" fillId="5" borderId="1" xfId="1" applyNumberFormat="1" applyFont="1" applyFill="1" applyBorder="1"/>
    <xf numFmtId="3" fontId="8" fillId="6" borderId="1" xfId="0" applyNumberFormat="1" applyFont="1" applyFill="1" applyBorder="1" applyAlignment="1">
      <alignment horizontal="left" vertical="center" wrapText="1"/>
    </xf>
    <xf numFmtId="41" fontId="8" fillId="6" borderId="1" xfId="2" applyNumberFormat="1" applyFont="1" applyFill="1" applyBorder="1" applyAlignment="1">
      <alignment vertical="center"/>
    </xf>
    <xf numFmtId="0" fontId="9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tabSelected="1" topLeftCell="A29" zoomScaleNormal="100" workbookViewId="0">
      <selection activeCell="F23" sqref="F23"/>
    </sheetView>
  </sheetViews>
  <sheetFormatPr defaultRowHeight="13.2" x14ac:dyDescent="0.25"/>
  <cols>
    <col min="1" max="1" width="42.6640625" bestFit="1" customWidth="1"/>
    <col min="2" max="2" width="9.5546875" bestFit="1" customWidth="1"/>
    <col min="3" max="3" width="9.77734375" bestFit="1" customWidth="1"/>
    <col min="4" max="4" width="43.6640625" customWidth="1"/>
    <col min="5" max="5" width="9.21875" bestFit="1" customWidth="1"/>
    <col min="6" max="6" width="9.77734375" bestFit="1" customWidth="1"/>
  </cols>
  <sheetData>
    <row r="1" spans="1:9" ht="19.2" x14ac:dyDescent="0.25">
      <c r="A1" s="1" t="s">
        <v>0</v>
      </c>
      <c r="B1" s="1"/>
      <c r="C1" s="1"/>
      <c r="D1" s="2"/>
      <c r="E1" s="3"/>
      <c r="F1" s="4"/>
    </row>
    <row r="2" spans="1:9" x14ac:dyDescent="0.25">
      <c r="A2" s="5" t="s">
        <v>1</v>
      </c>
      <c r="B2" s="6" t="s">
        <v>2</v>
      </c>
      <c r="C2" s="6" t="s">
        <v>3</v>
      </c>
      <c r="D2" s="5" t="s">
        <v>4</v>
      </c>
      <c r="E2" s="6" t="s">
        <v>2</v>
      </c>
      <c r="F2" s="6" t="s">
        <v>3</v>
      </c>
    </row>
    <row r="3" spans="1:9" x14ac:dyDescent="0.25">
      <c r="A3" s="7" t="s">
        <v>5</v>
      </c>
      <c r="B3" s="8" t="s">
        <v>6</v>
      </c>
      <c r="C3" s="9"/>
      <c r="D3" s="10" t="s">
        <v>7</v>
      </c>
      <c r="E3" s="11" t="s">
        <v>8</v>
      </c>
      <c r="F3" s="12"/>
    </row>
    <row r="4" spans="1:9" ht="31.2" x14ac:dyDescent="0.25">
      <c r="A4" s="13" t="s">
        <v>9</v>
      </c>
      <c r="B4" s="13">
        <v>14000000</v>
      </c>
      <c r="C4" s="14">
        <f>14000000/0.641</f>
        <v>21840873.634945396</v>
      </c>
      <c r="D4" s="15" t="s">
        <v>10</v>
      </c>
      <c r="E4" s="13"/>
      <c r="F4" s="13">
        <v>93506</v>
      </c>
    </row>
    <row r="5" spans="1:9" ht="31.2" x14ac:dyDescent="0.25">
      <c r="A5" s="15" t="s">
        <v>11</v>
      </c>
      <c r="B5" s="16">
        <v>5000</v>
      </c>
      <c r="C5" s="17">
        <f>B5/0.6416</f>
        <v>7793.0174563591027</v>
      </c>
      <c r="D5" s="15" t="s">
        <v>12</v>
      </c>
      <c r="E5" s="13">
        <v>815052</v>
      </c>
      <c r="F5" s="13">
        <f>E5/0.407</f>
        <v>2002584.7665847668</v>
      </c>
    </row>
    <row r="6" spans="1:9" ht="31.2" x14ac:dyDescent="0.25">
      <c r="A6" s="15" t="s">
        <v>13</v>
      </c>
      <c r="B6" s="16">
        <v>5000</v>
      </c>
      <c r="C6" s="17">
        <f>5000/0.6416</f>
        <v>7793.0174563591027</v>
      </c>
      <c r="D6" s="15" t="s">
        <v>14</v>
      </c>
      <c r="E6" s="13">
        <v>475497</v>
      </c>
      <c r="F6" s="13">
        <f>E6/0.407</f>
        <v>1168297.2972972973</v>
      </c>
    </row>
    <row r="7" spans="1:9" ht="41.4" x14ac:dyDescent="0.25">
      <c r="A7" s="15" t="s">
        <v>15</v>
      </c>
      <c r="B7" s="16">
        <v>98051</v>
      </c>
      <c r="C7" s="17">
        <f>98051/0.6416</f>
        <v>152822.63092269329</v>
      </c>
      <c r="D7" s="15" t="s">
        <v>16</v>
      </c>
      <c r="E7" s="13">
        <v>365895.06</v>
      </c>
      <c r="F7" s="13">
        <f>E7/0.407</f>
        <v>899005.06142506143</v>
      </c>
      <c r="H7" t="s">
        <v>17</v>
      </c>
      <c r="I7" t="s">
        <v>17</v>
      </c>
    </row>
    <row r="8" spans="1:9" ht="34.5" customHeight="1" x14ac:dyDescent="0.25">
      <c r="A8" s="15" t="s">
        <v>18</v>
      </c>
      <c r="B8" s="16">
        <v>6250</v>
      </c>
      <c r="C8" s="17">
        <f>6250/0.6416</f>
        <v>9741.2718204488792</v>
      </c>
      <c r="D8" s="15" t="s">
        <v>19</v>
      </c>
      <c r="E8" s="13"/>
      <c r="F8" s="13">
        <v>8071.88</v>
      </c>
      <c r="I8" t="s">
        <v>17</v>
      </c>
    </row>
    <row r="9" spans="1:9" ht="41.4" x14ac:dyDescent="0.25">
      <c r="A9" s="15" t="s">
        <v>20</v>
      </c>
      <c r="B9" s="16">
        <v>150000</v>
      </c>
      <c r="C9" s="17">
        <f>150000/0.6648</f>
        <v>225631.76895306862</v>
      </c>
      <c r="D9" s="15" t="s">
        <v>21</v>
      </c>
      <c r="E9" s="13">
        <v>48000</v>
      </c>
      <c r="F9" s="13">
        <f>48000/0.4039</f>
        <v>118841.29735082942</v>
      </c>
    </row>
    <row r="10" spans="1:9" ht="41.4" x14ac:dyDescent="0.25">
      <c r="A10" s="15" t="s">
        <v>22</v>
      </c>
      <c r="B10" s="16">
        <v>55000</v>
      </c>
      <c r="C10" s="17">
        <f>B10/0.6601</f>
        <v>83320.708983487348</v>
      </c>
      <c r="D10" s="15" t="s">
        <v>23</v>
      </c>
      <c r="E10" s="13">
        <v>1200</v>
      </c>
      <c r="F10" s="13">
        <f>1200/0.3747</f>
        <v>3202.5620496397119</v>
      </c>
    </row>
    <row r="11" spans="1:9" x14ac:dyDescent="0.25">
      <c r="A11" s="15"/>
      <c r="B11" s="16"/>
      <c r="C11" s="17"/>
      <c r="D11" s="18" t="s">
        <v>24</v>
      </c>
      <c r="E11" s="19"/>
      <c r="F11" s="19">
        <f>SUM(F4:F10)</f>
        <v>4293508.8647075938</v>
      </c>
    </row>
    <row r="12" spans="1:9" x14ac:dyDescent="0.25">
      <c r="A12" s="20" t="s">
        <v>25</v>
      </c>
      <c r="B12" s="21">
        <f>SUM(B4:B10)</f>
        <v>14319301</v>
      </c>
      <c r="C12" s="21">
        <f>SUM(C4:C10)</f>
        <v>22327976.050537817</v>
      </c>
      <c r="D12" s="18" t="s">
        <v>26</v>
      </c>
      <c r="E12" s="19"/>
      <c r="F12" s="19"/>
      <c r="G12" t="s">
        <v>17</v>
      </c>
    </row>
    <row r="13" spans="1:9" ht="31.2" x14ac:dyDescent="0.25">
      <c r="A13" s="7" t="s">
        <v>27</v>
      </c>
      <c r="B13" s="8" t="s">
        <v>28</v>
      </c>
      <c r="C13" s="22"/>
      <c r="D13" s="15" t="s">
        <v>29</v>
      </c>
      <c r="E13" s="23">
        <v>63199.199999999997</v>
      </c>
      <c r="F13" s="23">
        <f>E13/0.4623</f>
        <v>136706.03504218039</v>
      </c>
    </row>
    <row r="14" spans="1:9" ht="31.2" x14ac:dyDescent="0.25">
      <c r="A14" s="24" t="s">
        <v>30</v>
      </c>
      <c r="B14" s="25">
        <v>5250000</v>
      </c>
      <c r="C14" s="25">
        <f>B14/0.6726</f>
        <v>7805530.7760927742</v>
      </c>
      <c r="D14" s="15" t="s">
        <v>31</v>
      </c>
      <c r="E14" s="23"/>
      <c r="F14" s="23">
        <v>80000</v>
      </c>
    </row>
    <row r="15" spans="1:9" ht="21" x14ac:dyDescent="0.25">
      <c r="A15" s="26" t="s">
        <v>32</v>
      </c>
      <c r="B15" s="25">
        <v>1688750</v>
      </c>
      <c r="C15" s="25">
        <f>B15/0.6748</f>
        <v>2502593.360995851</v>
      </c>
      <c r="D15" s="15" t="s">
        <v>33</v>
      </c>
      <c r="E15" s="23"/>
      <c r="F15" s="23">
        <v>59314.2</v>
      </c>
    </row>
    <row r="16" spans="1:9" ht="20.399999999999999" x14ac:dyDescent="0.25">
      <c r="A16" s="26" t="s">
        <v>34</v>
      </c>
      <c r="B16" s="25"/>
      <c r="C16" s="25">
        <v>500000</v>
      </c>
      <c r="D16" s="18" t="s">
        <v>35</v>
      </c>
      <c r="E16" s="19"/>
      <c r="F16" s="19">
        <f>SUM(F13:F15)</f>
        <v>276020.2350421804</v>
      </c>
    </row>
    <row r="17" spans="1:9" ht="30.6" x14ac:dyDescent="0.25">
      <c r="A17" s="26" t="s">
        <v>36</v>
      </c>
      <c r="B17" s="25">
        <v>20609</v>
      </c>
      <c r="C17" s="25">
        <f>B17/0.6956</f>
        <v>29627.659574468085</v>
      </c>
      <c r="D17" s="27" t="s">
        <v>37</v>
      </c>
      <c r="E17" s="28"/>
      <c r="F17" s="29">
        <f>F11+F16</f>
        <v>4569529.0997497737</v>
      </c>
      <c r="I17" t="s">
        <v>17</v>
      </c>
    </row>
    <row r="18" spans="1:9" ht="31.2" x14ac:dyDescent="0.25">
      <c r="A18" s="26" t="s">
        <v>38</v>
      </c>
      <c r="B18" s="25">
        <v>339337.03</v>
      </c>
      <c r="C18" s="25">
        <f>B18/0.6956</f>
        <v>487833.56814261072</v>
      </c>
      <c r="D18" s="15" t="s">
        <v>39</v>
      </c>
      <c r="E18" s="13">
        <v>64405</v>
      </c>
      <c r="F18" s="13">
        <f>64405/0.9819</f>
        <v>65592.219166921277</v>
      </c>
    </row>
    <row r="19" spans="1:9" ht="21" x14ac:dyDescent="0.25">
      <c r="A19" s="20" t="s">
        <v>40</v>
      </c>
      <c r="B19" s="20">
        <f>SUM(B14:B18)</f>
        <v>7298696.0300000003</v>
      </c>
      <c r="C19" s="20">
        <f>SUM(C14:C18)</f>
        <v>11325585.364805704</v>
      </c>
      <c r="D19" s="15" t="s">
        <v>41</v>
      </c>
      <c r="E19" s="13"/>
      <c r="F19" s="13">
        <f>9000+7200</f>
        <v>16200</v>
      </c>
    </row>
    <row r="20" spans="1:9" ht="41.4" x14ac:dyDescent="0.25">
      <c r="A20" s="30" t="s">
        <v>42</v>
      </c>
      <c r="B20" s="31" t="s">
        <v>43</v>
      </c>
      <c r="C20" s="31"/>
      <c r="D20" s="15" t="s">
        <v>44</v>
      </c>
      <c r="E20" s="13"/>
      <c r="F20" s="13">
        <v>88726.24</v>
      </c>
    </row>
    <row r="21" spans="1:9" ht="21" x14ac:dyDescent="0.25">
      <c r="A21" s="13" t="s">
        <v>45</v>
      </c>
      <c r="B21" s="13">
        <v>10414.4</v>
      </c>
      <c r="C21" s="13">
        <f>B21/0.4537</f>
        <v>22954.375137756226</v>
      </c>
      <c r="D21" s="15" t="s">
        <v>46</v>
      </c>
      <c r="E21" s="13"/>
      <c r="F21" s="13">
        <f>(1500*12)+5000</f>
        <v>23000</v>
      </c>
      <c r="H21" t="s">
        <v>17</v>
      </c>
    </row>
    <row r="22" spans="1:9" ht="31.2" x14ac:dyDescent="0.25">
      <c r="A22" s="13" t="s">
        <v>47</v>
      </c>
      <c r="B22" s="13">
        <v>25000</v>
      </c>
      <c r="C22" s="13">
        <f>B22/0.4514</f>
        <v>55383.25210456358</v>
      </c>
      <c r="D22" s="15" t="s">
        <v>48</v>
      </c>
      <c r="E22" s="13">
        <v>90000</v>
      </c>
      <c r="F22" s="13">
        <f>E22/2.9315</f>
        <v>30701.006310762405</v>
      </c>
    </row>
    <row r="23" spans="1:9" ht="31.2" x14ac:dyDescent="0.25">
      <c r="A23" s="19" t="s">
        <v>49</v>
      </c>
      <c r="B23" s="19">
        <f>SUM(B21:B22)</f>
        <v>35414.400000000001</v>
      </c>
      <c r="C23" s="19">
        <f>SUM(C21:C22)</f>
        <v>78337.62724231981</v>
      </c>
      <c r="D23" s="15" t="s">
        <v>50</v>
      </c>
      <c r="E23" s="13">
        <v>1558146.44</v>
      </c>
      <c r="F23" s="13">
        <f>1558146/2.9178</f>
        <v>534013.98313798069</v>
      </c>
      <c r="I23" t="s">
        <v>17</v>
      </c>
    </row>
    <row r="24" spans="1:9" ht="31.2" x14ac:dyDescent="0.25">
      <c r="A24" s="32"/>
      <c r="B24" s="32"/>
      <c r="C24" s="32"/>
      <c r="D24" s="15" t="s">
        <v>51</v>
      </c>
      <c r="E24" s="13">
        <v>626927.5</v>
      </c>
      <c r="F24" s="13">
        <f>E24/0.4081</f>
        <v>1536210.4876255819</v>
      </c>
    </row>
    <row r="25" spans="1:9" ht="21" x14ac:dyDescent="0.25">
      <c r="A25" s="32"/>
      <c r="B25" s="32"/>
      <c r="C25" s="32"/>
      <c r="D25" s="15" t="s">
        <v>52</v>
      </c>
      <c r="E25" s="13"/>
      <c r="F25" s="13">
        <v>10000</v>
      </c>
    </row>
    <row r="26" spans="1:9" x14ac:dyDescent="0.25">
      <c r="A26" s="30" t="s">
        <v>53</v>
      </c>
      <c r="B26" s="31" t="s">
        <v>54</v>
      </c>
      <c r="C26" s="31"/>
      <c r="D26" s="27" t="s">
        <v>55</v>
      </c>
      <c r="E26" s="27"/>
      <c r="F26" s="29">
        <f>SUM(F18:F25)</f>
        <v>2304443.9362412463</v>
      </c>
      <c r="H26" s="33" t="s">
        <v>17</v>
      </c>
    </row>
    <row r="27" spans="1:9" ht="31.2" x14ac:dyDescent="0.25">
      <c r="A27" s="13" t="s">
        <v>56</v>
      </c>
      <c r="B27" s="13">
        <v>115959000</v>
      </c>
      <c r="C27" s="13">
        <f>B27/48.45</f>
        <v>2393374.6130030956</v>
      </c>
      <c r="D27" s="34" t="s">
        <v>57</v>
      </c>
      <c r="E27" s="34"/>
      <c r="F27" s="35"/>
    </row>
    <row r="28" spans="1:9" x14ac:dyDescent="0.25">
      <c r="A28" s="13"/>
      <c r="B28" s="13"/>
      <c r="C28" s="13"/>
      <c r="D28" s="36" t="s">
        <v>58</v>
      </c>
      <c r="E28" s="36"/>
      <c r="F28" s="37">
        <f>C32</f>
        <v>36125273.65558894</v>
      </c>
    </row>
    <row r="29" spans="1:9" x14ac:dyDescent="0.25">
      <c r="A29" s="19" t="s">
        <v>59</v>
      </c>
      <c r="B29" s="19">
        <f>B27</f>
        <v>115959000</v>
      </c>
      <c r="C29" s="19">
        <f>C26+C27</f>
        <v>2393374.6130030956</v>
      </c>
      <c r="D29" s="36" t="s">
        <v>60</v>
      </c>
      <c r="E29" s="36"/>
      <c r="F29" s="37">
        <f>F17</f>
        <v>4569529.0997497737</v>
      </c>
    </row>
    <row r="30" spans="1:9" x14ac:dyDescent="0.25">
      <c r="A30" s="32"/>
      <c r="B30" s="32"/>
      <c r="C30" s="32"/>
      <c r="D30" s="36"/>
      <c r="E30" s="36"/>
      <c r="F30" s="37"/>
    </row>
    <row r="31" spans="1:9" x14ac:dyDescent="0.25">
      <c r="A31" s="32"/>
      <c r="B31" s="32"/>
      <c r="C31" s="32"/>
      <c r="D31" s="36" t="s">
        <v>61</v>
      </c>
      <c r="E31" s="36"/>
      <c r="F31" s="37">
        <f>F26</f>
        <v>2304443.9362412463</v>
      </c>
    </row>
    <row r="32" spans="1:9" x14ac:dyDescent="0.25">
      <c r="A32" s="27" t="s">
        <v>62</v>
      </c>
      <c r="B32" s="38"/>
      <c r="C32" s="39">
        <f>C12+C19+C23+C29</f>
        <v>36125273.65558894</v>
      </c>
      <c r="D32" s="40" t="s">
        <v>63</v>
      </c>
      <c r="E32" s="40"/>
      <c r="F32" s="41">
        <f>SUM(F28:F31)</f>
        <v>42999246.69157996</v>
      </c>
    </row>
    <row r="34" spans="1:7" x14ac:dyDescent="0.25">
      <c r="A34" s="42" t="s">
        <v>64</v>
      </c>
    </row>
    <row r="35" spans="1:7" x14ac:dyDescent="0.25">
      <c r="A35" s="33" t="s">
        <v>65</v>
      </c>
    </row>
    <row r="36" spans="1:7" x14ac:dyDescent="0.25">
      <c r="A36" s="33" t="s">
        <v>66</v>
      </c>
    </row>
    <row r="37" spans="1:7" x14ac:dyDescent="0.25">
      <c r="A37" s="33" t="s">
        <v>67</v>
      </c>
      <c r="G37" s="33" t="s">
        <v>17</v>
      </c>
    </row>
    <row r="38" spans="1:7" x14ac:dyDescent="0.25">
      <c r="A38" s="33" t="s">
        <v>68</v>
      </c>
    </row>
    <row r="39" spans="1:7" x14ac:dyDescent="0.25">
      <c r="A39" s="33" t="s">
        <v>69</v>
      </c>
    </row>
    <row r="40" spans="1:7" x14ac:dyDescent="0.25">
      <c r="A40" s="33" t="s">
        <v>70</v>
      </c>
    </row>
    <row r="41" spans="1:7" x14ac:dyDescent="0.25">
      <c r="A41" s="33" t="s">
        <v>71</v>
      </c>
    </row>
    <row r="42" spans="1:7" x14ac:dyDescent="0.25">
      <c r="A42" s="33" t="s">
        <v>72</v>
      </c>
    </row>
    <row r="43" spans="1:7" x14ac:dyDescent="0.25">
      <c r="A43" s="33" t="s">
        <v>73</v>
      </c>
    </row>
  </sheetData>
  <mergeCells count="1">
    <mergeCell ref="A1:D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Indicative Aid 2019</vt:lpstr>
    </vt:vector>
  </TitlesOfParts>
  <Company>The University of the South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Pretishma Singh</dc:creator>
  <cp:lastModifiedBy>Pretishma Singh</cp:lastModifiedBy>
  <dcterms:created xsi:type="dcterms:W3CDTF">2021-07-14T03:19:23Z</dcterms:created>
  <dcterms:modified xsi:type="dcterms:W3CDTF">2021-07-14T03:19:47Z</dcterms:modified>
</cp:coreProperties>
</file>