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ingh_pt\Desktop\WFH\Indicative Aid Budget\"/>
    </mc:Choice>
  </mc:AlternateContent>
  <bookViews>
    <workbookView xWindow="0" yWindow="0" windowWidth="23040" windowHeight="8616"/>
  </bookViews>
  <sheets>
    <sheet name="Indicative Aid 20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31" i="1" s="1"/>
  <c r="B30" i="1"/>
  <c r="B31" i="1" s="1"/>
  <c r="C28" i="1"/>
  <c r="B28" i="1"/>
  <c r="C27" i="1"/>
  <c r="B25" i="1"/>
  <c r="F23" i="1"/>
  <c r="C23" i="1"/>
  <c r="C22" i="1"/>
  <c r="F21" i="1"/>
  <c r="C21" i="1"/>
  <c r="C25" i="1" s="1"/>
  <c r="F20" i="1"/>
  <c r="F19" i="1"/>
  <c r="B19" i="1"/>
  <c r="F18" i="1"/>
  <c r="C17" i="1"/>
  <c r="F16" i="1"/>
  <c r="C16" i="1"/>
  <c r="C15" i="1"/>
  <c r="F14" i="1"/>
  <c r="C14" i="1"/>
  <c r="F13" i="1"/>
  <c r="C13" i="1"/>
  <c r="C19" i="1" s="1"/>
  <c r="F12" i="1"/>
  <c r="F24" i="1" s="1"/>
  <c r="F31" i="1" s="1"/>
  <c r="C10" i="1"/>
  <c r="C9" i="1"/>
  <c r="C8" i="1"/>
  <c r="F7" i="1"/>
  <c r="F9" i="1" s="1"/>
  <c r="F29" i="1" s="1"/>
  <c r="C7" i="1"/>
  <c r="F6" i="1"/>
  <c r="C6" i="1"/>
  <c r="F5" i="1"/>
  <c r="C5" i="1"/>
  <c r="F4" i="1"/>
  <c r="E4" i="1"/>
  <c r="C4" i="1"/>
  <c r="C11" i="1" s="1"/>
  <c r="B4" i="1"/>
  <c r="B11" i="1" s="1"/>
  <c r="C32" i="1" l="1"/>
  <c r="F28" i="1" s="1"/>
  <c r="F32" i="1" s="1"/>
</calcChain>
</file>

<file path=xl/comments1.xml><?xml version="1.0" encoding="utf-8"?>
<comments xmlns="http://schemas.openxmlformats.org/spreadsheetml/2006/main">
  <authors>
    <author>singh_pt</author>
    <author>Pretishma Singh</author>
  </authors>
  <commentList>
    <comment ref="C4" authorId="0" shapeId="0">
      <text>
        <r>
          <rPr>
            <b/>
            <sz val="9"/>
            <color indexed="81"/>
            <rFont val="Tahoma"/>
            <family val="2"/>
          </rPr>
          <t>singh_pt:</t>
        </r>
        <r>
          <rPr>
            <sz val="9"/>
            <color indexed="81"/>
            <rFont val="Tahoma"/>
            <family val="2"/>
          </rPr>
          <t xml:space="preserve">
1 FJD = 0.6344 AUD Exchange rate as at 5 Jan 2017
1 FJD - 0.6245 AUD 
Exchange rate as at 16 June 2017</t>
        </r>
      </text>
    </comment>
    <comment ref="F4" authorId="0" shapeId="0">
      <text>
        <r>
          <rPr>
            <b/>
            <sz val="9"/>
            <color indexed="81"/>
            <rFont val="Tahoma"/>
            <family val="2"/>
          </rPr>
          <t>singh_pt:</t>
        </r>
        <r>
          <rPr>
            <sz val="9"/>
            <color indexed="81"/>
            <rFont val="Tahoma"/>
            <family val="2"/>
          </rPr>
          <t xml:space="preserve">
1 FJD = 0.4434
EUR Exchange rate - 5 Jan 2017
</t>
        </r>
      </text>
    </comment>
    <comment ref="C5" authorId="0" shapeId="0">
      <text>
        <r>
          <rPr>
            <b/>
            <sz val="9"/>
            <color indexed="81"/>
            <rFont val="Tahoma"/>
            <family val="2"/>
          </rPr>
          <t>singh_pt:</t>
        </r>
        <r>
          <rPr>
            <sz val="9"/>
            <color indexed="81"/>
            <rFont val="Tahoma"/>
            <family val="2"/>
          </rPr>
          <t xml:space="preserve">
1 FJD = 0.6344 AUD Exchange rate as at 5 Jan 2017</t>
        </r>
      </text>
    </comment>
    <comment ref="D5" authorId="1" shapeId="0">
      <text>
        <r>
          <rPr>
            <b/>
            <sz val="9"/>
            <color indexed="81"/>
            <rFont val="Tahoma"/>
            <family val="2"/>
          </rPr>
          <t>Pretishma Singh:</t>
        </r>
        <r>
          <rPr>
            <sz val="9"/>
            <color indexed="81"/>
            <rFont val="Tahoma"/>
            <family val="2"/>
          </rPr>
          <t xml:space="preserve">
Updated based on Roneel and Sainimili's email on 22/01/18</t>
        </r>
      </text>
    </comment>
    <comment ref="F5" authorId="0" shapeId="0">
      <text>
        <r>
          <rPr>
            <b/>
            <sz val="9"/>
            <color indexed="81"/>
            <rFont val="Tahoma"/>
            <family val="2"/>
          </rPr>
          <t>singh_pt:</t>
        </r>
        <r>
          <rPr>
            <sz val="9"/>
            <color indexed="81"/>
            <rFont val="Tahoma"/>
            <family val="2"/>
          </rPr>
          <t xml:space="preserve">
Exchange rate: As at 10 Jan 2017</t>
        </r>
      </text>
    </comment>
    <comment ref="C6" authorId="0" shapeId="0">
      <text>
        <r>
          <rPr>
            <b/>
            <sz val="9"/>
            <color indexed="81"/>
            <rFont val="Tahoma"/>
            <family val="2"/>
          </rPr>
          <t>singh_pt:</t>
        </r>
        <r>
          <rPr>
            <sz val="9"/>
            <color indexed="81"/>
            <rFont val="Tahoma"/>
            <family val="2"/>
          </rPr>
          <t xml:space="preserve">
1 FJD = 0.6486 AUD Exchange rate as at 11 Jan 2017</t>
        </r>
      </text>
    </comment>
    <comment ref="F6" authorId="1" shapeId="0">
      <text>
        <r>
          <rPr>
            <b/>
            <sz val="9"/>
            <color indexed="81"/>
            <rFont val="Tahoma"/>
            <family val="2"/>
          </rPr>
          <t>Pretishma Singh:</t>
        </r>
        <r>
          <rPr>
            <sz val="9"/>
            <color indexed="81"/>
            <rFont val="Tahoma"/>
            <family val="2"/>
          </rPr>
          <t xml:space="preserve">
1 FJD = 0.4838 USD
 Exchange rate as at 5 September 2017</t>
        </r>
      </text>
    </comment>
    <comment ref="C8" authorId="1" shapeId="0">
      <text>
        <r>
          <rPr>
            <b/>
            <sz val="9"/>
            <color indexed="81"/>
            <rFont val="Tahoma"/>
            <family val="2"/>
          </rPr>
          <t>Pretishma Singh:</t>
        </r>
        <r>
          <rPr>
            <sz val="9"/>
            <color indexed="81"/>
            <rFont val="Tahoma"/>
            <family val="2"/>
          </rPr>
          <t xml:space="preserve">
Exchange rate as at 16 Feb 2017 
1 FJD = 0.6140 AUD</t>
        </r>
      </text>
    </comment>
    <comment ref="C9" authorId="1" shapeId="0">
      <text>
        <r>
          <rPr>
            <b/>
            <sz val="9"/>
            <color indexed="81"/>
            <rFont val="Tahoma"/>
            <family val="2"/>
          </rPr>
          <t>Pretishma Singh:</t>
        </r>
        <r>
          <rPr>
            <sz val="9"/>
            <color indexed="81"/>
            <rFont val="Tahoma"/>
            <family val="2"/>
          </rPr>
          <t xml:space="preserve">
Exchange rate as at 1 March 2017
1 FJD = 0.6174 AUD</t>
        </r>
      </text>
    </comment>
    <comment ref="C10" authorId="1" shapeId="0">
      <text>
        <r>
          <rPr>
            <b/>
            <sz val="9"/>
            <color indexed="81"/>
            <rFont val="Tahoma"/>
            <family val="2"/>
          </rPr>
          <t>Pretishma Singh:</t>
        </r>
        <r>
          <rPr>
            <sz val="9"/>
            <color indexed="81"/>
            <rFont val="Tahoma"/>
            <family val="2"/>
          </rPr>
          <t xml:space="preserve">
Exchange rate as at 30 March 2017
1 FJD = 0.6150 AUD</t>
        </r>
      </text>
    </comment>
    <comment ref="F12" authorId="0" shapeId="0">
      <text>
        <r>
          <rPr>
            <b/>
            <sz val="9"/>
            <color indexed="81"/>
            <rFont val="Tahoma"/>
            <family val="2"/>
          </rPr>
          <t>singh_pt:</t>
        </r>
        <r>
          <rPr>
            <sz val="9"/>
            <color indexed="81"/>
            <rFont val="Tahoma"/>
            <family val="2"/>
          </rPr>
          <t xml:space="preserve">
Exchange rate as at 05 Jan 2017
(As per email from Cherie Moris dated 10 Jan 2017</t>
        </r>
      </text>
    </comment>
    <comment ref="C13" authorId="0" shapeId="0">
      <text>
        <r>
          <rPr>
            <b/>
            <sz val="9"/>
            <color indexed="81"/>
            <rFont val="Tahoma"/>
            <family val="2"/>
          </rPr>
          <t>singh_pt:</t>
        </r>
        <r>
          <rPr>
            <sz val="9"/>
            <color indexed="81"/>
            <rFont val="Tahoma"/>
            <family val="2"/>
          </rPr>
          <t xml:space="preserve">
Exchange rate as at 5 Jan 2017
1 FJD = 0.6607 NZD</t>
        </r>
      </text>
    </comment>
    <comment ref="E13" authorId="0" shapeId="0">
      <text>
        <r>
          <rPr>
            <b/>
            <sz val="9"/>
            <color indexed="81"/>
            <rFont val="Tahoma"/>
            <family val="2"/>
          </rPr>
          <t>singh_pt:</t>
        </r>
        <r>
          <rPr>
            <sz val="9"/>
            <color indexed="81"/>
            <rFont val="Tahoma"/>
            <family val="2"/>
          </rPr>
          <t xml:space="preserve">
Revised as per Rina's email dated 22 August 2017</t>
        </r>
      </text>
    </comment>
    <comment ref="F13" authorId="0" shapeId="0">
      <text>
        <r>
          <rPr>
            <b/>
            <sz val="9"/>
            <color indexed="81"/>
            <rFont val="Tahoma"/>
            <family val="2"/>
          </rPr>
          <t>singh_pt:</t>
        </r>
        <r>
          <rPr>
            <sz val="9"/>
            <color indexed="81"/>
            <rFont val="Tahoma"/>
            <family val="2"/>
          </rPr>
          <t xml:space="preserve">
1 FJD = 0.4120 EUR - as at 22 August 2017</t>
        </r>
      </text>
    </comment>
    <comment ref="A14" authorId="1" shapeId="0">
      <text>
        <r>
          <rPr>
            <b/>
            <sz val="9"/>
            <color indexed="81"/>
            <rFont val="Tahoma"/>
            <family val="2"/>
          </rPr>
          <t>Pretishma Singh:</t>
        </r>
        <r>
          <rPr>
            <sz val="9"/>
            <color indexed="81"/>
            <rFont val="Tahoma"/>
            <family val="2"/>
          </rPr>
          <t xml:space="preserve">
Project has ended, however funds are left to be received </t>
        </r>
      </text>
    </comment>
    <comment ref="B14" authorId="0" shapeId="0">
      <text>
        <r>
          <rPr>
            <b/>
            <sz val="9"/>
            <color indexed="81"/>
            <rFont val="Tahoma"/>
            <family val="2"/>
          </rPr>
          <t>singh_pt:</t>
        </r>
        <r>
          <rPr>
            <sz val="9"/>
            <color indexed="81"/>
            <rFont val="Tahoma"/>
            <family val="2"/>
          </rPr>
          <t xml:space="preserve">
As per the email from Maria Mafi</t>
        </r>
      </text>
    </comment>
    <comment ref="C14" authorId="0" shapeId="0">
      <text>
        <r>
          <rPr>
            <b/>
            <sz val="9"/>
            <color indexed="81"/>
            <rFont val="Tahoma"/>
            <family val="2"/>
          </rPr>
          <t>singh_pt:</t>
        </r>
        <r>
          <rPr>
            <sz val="9"/>
            <color indexed="81"/>
            <rFont val="Tahoma"/>
            <family val="2"/>
          </rPr>
          <t xml:space="preserve">
1 FJD = 0.6580 NZD as at 10 January 2017</t>
        </r>
      </text>
    </comment>
    <comment ref="E14" authorId="1" shapeId="0">
      <text>
        <r>
          <rPr>
            <b/>
            <sz val="9"/>
            <color indexed="81"/>
            <rFont val="Tahoma"/>
            <family val="2"/>
          </rPr>
          <t>Pretishma Singh:</t>
        </r>
        <r>
          <rPr>
            <sz val="9"/>
            <color indexed="81"/>
            <rFont val="Tahoma"/>
            <family val="2"/>
          </rPr>
          <t xml:space="preserve">
As per the email received from Maria Mafi on 22/11/16</t>
        </r>
      </text>
    </comment>
    <comment ref="F14" authorId="0" shapeId="0">
      <text>
        <r>
          <rPr>
            <b/>
            <sz val="9"/>
            <color indexed="81"/>
            <rFont val="Tahoma"/>
            <family val="2"/>
          </rPr>
          <t>singh_pt:</t>
        </r>
        <r>
          <rPr>
            <sz val="9"/>
            <color indexed="81"/>
            <rFont val="Tahoma"/>
            <family val="2"/>
          </rPr>
          <t xml:space="preserve">
1 FJD =2.9024 SBD Exchange rate as at 10/01/17</t>
        </r>
      </text>
    </comment>
    <comment ref="C15" authorId="1" shapeId="0">
      <text>
        <r>
          <rPr>
            <b/>
            <sz val="9"/>
            <color indexed="81"/>
            <rFont val="Tahoma"/>
            <family val="2"/>
          </rPr>
          <t>Pretishma Singh:</t>
        </r>
        <r>
          <rPr>
            <sz val="9"/>
            <color indexed="81"/>
            <rFont val="Tahoma"/>
            <family val="2"/>
          </rPr>
          <t xml:space="preserve">
As per exchange rate as at 16 June 2017
1FJD = 0.6535 NZD</t>
        </r>
      </text>
    </comment>
    <comment ref="C16" authorId="1" shapeId="0">
      <text>
        <r>
          <rPr>
            <b/>
            <sz val="9"/>
            <color indexed="81"/>
            <rFont val="Tahoma"/>
            <family val="2"/>
          </rPr>
          <t>Pretishma Singh:</t>
        </r>
        <r>
          <rPr>
            <sz val="9"/>
            <color indexed="81"/>
            <rFont val="Tahoma"/>
            <family val="2"/>
          </rPr>
          <t xml:space="preserve">
Exchange rate as at 4 July 2017: 1 FJD = 0.6495 NZD </t>
        </r>
      </text>
    </comment>
    <comment ref="D16" authorId="1" shapeId="0">
      <text>
        <r>
          <rPr>
            <b/>
            <sz val="9"/>
            <color indexed="81"/>
            <rFont val="Tahoma"/>
            <family val="2"/>
          </rPr>
          <t>Pretishma Singh:</t>
        </r>
        <r>
          <rPr>
            <sz val="9"/>
            <color indexed="81"/>
            <rFont val="Tahoma"/>
            <family val="2"/>
          </rPr>
          <t xml:space="preserve">
As per email from Patricia Rodie dated 10 Jan 2017</t>
        </r>
      </text>
    </comment>
    <comment ref="F16" authorId="0" shapeId="0">
      <text>
        <r>
          <rPr>
            <b/>
            <sz val="9"/>
            <color indexed="81"/>
            <rFont val="Tahoma"/>
            <family val="2"/>
          </rPr>
          <t>singh_pt:</t>
        </r>
        <r>
          <rPr>
            <sz val="9"/>
            <color indexed="81"/>
            <rFont val="Tahoma"/>
            <family val="2"/>
          </rPr>
          <t xml:space="preserve">
Exchange rate as at 10 June 2017
1 FJD = 2.9024 SBD</t>
        </r>
      </text>
    </comment>
    <comment ref="C17" authorId="1" shapeId="0">
      <text>
        <r>
          <rPr>
            <b/>
            <sz val="9"/>
            <color indexed="81"/>
            <rFont val="Tahoma"/>
            <family val="2"/>
          </rPr>
          <t>Pretishma Singh:</t>
        </r>
        <r>
          <rPr>
            <sz val="9"/>
            <color indexed="81"/>
            <rFont val="Tahoma"/>
            <family val="2"/>
          </rPr>
          <t xml:space="preserve">
1 FJD = 0.6498 NZD as at 14 July 2017</t>
        </r>
      </text>
    </comment>
    <comment ref="F17" authorId="1" shapeId="0">
      <text>
        <r>
          <rPr>
            <b/>
            <sz val="9"/>
            <color indexed="81"/>
            <rFont val="Tahoma"/>
            <family val="2"/>
          </rPr>
          <t>Pretishma Singh:</t>
        </r>
        <r>
          <rPr>
            <sz val="9"/>
            <color indexed="81"/>
            <rFont val="Tahoma"/>
            <family val="2"/>
          </rPr>
          <t xml:space="preserve">
Revised as per email from Dr Johann dated 10 Jan 2017</t>
        </r>
      </text>
    </comment>
    <comment ref="F18" authorId="1" shapeId="0">
      <text>
        <r>
          <rPr>
            <b/>
            <sz val="9"/>
            <color indexed="81"/>
            <rFont val="Tahoma"/>
            <family val="2"/>
          </rPr>
          <t>Pretishma Singh:</t>
        </r>
        <r>
          <rPr>
            <sz val="9"/>
            <color indexed="81"/>
            <rFont val="Tahoma"/>
            <family val="2"/>
          </rPr>
          <t xml:space="preserve">
Exchange rate as at 1 Feb 2017
1 FJD = 0.9920 TOP
</t>
        </r>
      </text>
    </comment>
    <comment ref="F19" authorId="1" shapeId="0">
      <text>
        <r>
          <rPr>
            <b/>
            <sz val="9"/>
            <color indexed="81"/>
            <rFont val="Tahoma"/>
            <family val="2"/>
          </rPr>
          <t>Pretishma Singh:</t>
        </r>
        <r>
          <rPr>
            <sz val="9"/>
            <color indexed="81"/>
            <rFont val="Tahoma"/>
            <family val="2"/>
          </rPr>
          <t xml:space="preserve">
Exchange Rate as at 20 March 2017
! FJD = 0.4426 EUR</t>
        </r>
      </text>
    </comment>
    <comment ref="F20" authorId="1" shapeId="0">
      <text>
        <r>
          <rPr>
            <b/>
            <sz val="9"/>
            <color indexed="81"/>
            <rFont val="Tahoma"/>
            <family val="2"/>
          </rPr>
          <t>Pretishma Singh:</t>
        </r>
        <r>
          <rPr>
            <sz val="9"/>
            <color indexed="81"/>
            <rFont val="Tahoma"/>
            <family val="2"/>
          </rPr>
          <t xml:space="preserve">
As per email from Rina Sagar (dated 31/3/17)
1 FJD = 0.4704 USD as at 21 April 2017</t>
        </r>
      </text>
    </comment>
    <comment ref="B21" authorId="0" shapeId="0">
      <text>
        <r>
          <rPr>
            <b/>
            <sz val="9"/>
            <color indexed="81"/>
            <rFont val="Tahoma"/>
            <family val="2"/>
          </rPr>
          <t xml:space="preserve">singh_pt:
</t>
        </r>
        <r>
          <rPr>
            <sz val="9"/>
            <color indexed="81"/>
            <rFont val="Tahoma"/>
            <family val="2"/>
          </rPr>
          <t xml:space="preserve">As per email from Sainimili dated 10 Jan 2017
</t>
        </r>
      </text>
    </comment>
    <comment ref="C21" authorId="0" shapeId="0">
      <text>
        <r>
          <rPr>
            <b/>
            <sz val="9"/>
            <color indexed="81"/>
            <rFont val="Tahoma"/>
            <family val="2"/>
          </rPr>
          <t>singh_pt:</t>
        </r>
        <r>
          <rPr>
            <sz val="9"/>
            <color indexed="81"/>
            <rFont val="Tahoma"/>
            <family val="2"/>
          </rPr>
          <t xml:space="preserve">
Exchange rate as at 14 Jan 2016. </t>
        </r>
      </text>
    </comment>
    <comment ref="F21" authorId="1" shapeId="0">
      <text>
        <r>
          <rPr>
            <b/>
            <sz val="9"/>
            <color indexed="81"/>
            <rFont val="Tahoma"/>
            <family val="2"/>
          </rPr>
          <t>Pretishma Singh:</t>
        </r>
        <r>
          <rPr>
            <sz val="9"/>
            <color indexed="81"/>
            <rFont val="Tahoma"/>
            <family val="2"/>
          </rPr>
          <t xml:space="preserve">
1 FJD = 0.4120 EUR as at 22 August 2017</t>
        </r>
      </text>
    </comment>
    <comment ref="C22" authorId="0" shapeId="0">
      <text>
        <r>
          <rPr>
            <b/>
            <sz val="9"/>
            <color indexed="81"/>
            <rFont val="Tahoma"/>
            <family val="2"/>
          </rPr>
          <t>singh_pt:</t>
        </r>
        <r>
          <rPr>
            <sz val="9"/>
            <color indexed="81"/>
            <rFont val="Tahoma"/>
            <family val="2"/>
          </rPr>
          <t xml:space="preserve">
1 FJD = 0.4618 USD Exchange rate as at 5 Jan 2017</t>
        </r>
      </text>
    </comment>
    <comment ref="C23" authorId="1" shapeId="0">
      <text>
        <r>
          <rPr>
            <b/>
            <sz val="9"/>
            <color indexed="81"/>
            <rFont val="Tahoma"/>
            <family val="2"/>
          </rPr>
          <t>Pretishma Singh:</t>
        </r>
        <r>
          <rPr>
            <sz val="9"/>
            <color indexed="81"/>
            <rFont val="Tahoma"/>
            <family val="2"/>
          </rPr>
          <t xml:space="preserve">
1 FJD = 0.4798 USD Exchange rate as at 14 July 2017</t>
        </r>
      </text>
    </comment>
    <comment ref="D23" authorId="1" shapeId="0">
      <text>
        <r>
          <rPr>
            <b/>
            <sz val="9"/>
            <color indexed="81"/>
            <rFont val="Tahoma"/>
            <family val="2"/>
          </rPr>
          <t>Pretishma Singh:</t>
        </r>
        <r>
          <rPr>
            <sz val="9"/>
            <color indexed="81"/>
            <rFont val="Tahoma"/>
            <family val="2"/>
          </rPr>
          <t xml:space="preserve">
Next funding to be stated in 2019 budget</t>
        </r>
      </text>
    </comment>
    <comment ref="F23" authorId="1" shapeId="0">
      <text>
        <r>
          <rPr>
            <b/>
            <sz val="9"/>
            <color indexed="81"/>
            <rFont val="Tahoma"/>
            <family val="2"/>
          </rPr>
          <t>Pretishma Singh:</t>
        </r>
        <r>
          <rPr>
            <sz val="9"/>
            <color indexed="81"/>
            <rFont val="Tahoma"/>
            <family val="2"/>
          </rPr>
          <t xml:space="preserve">
1 FJD = 0.4853 USD 
Exchange rate as at 25 September 2017</t>
        </r>
      </text>
    </comment>
    <comment ref="C27" authorId="1" shapeId="0">
      <text>
        <r>
          <rPr>
            <b/>
            <sz val="9"/>
            <color indexed="81"/>
            <rFont val="Tahoma"/>
            <family val="2"/>
          </rPr>
          <t>Pretishma Singh:</t>
        </r>
        <r>
          <rPr>
            <sz val="9"/>
            <color indexed="81"/>
            <rFont val="Tahoma"/>
            <family val="2"/>
          </rPr>
          <t xml:space="preserve">
1 FJD = 53.75 JPY 
Exchange rate as at 25 September 2017</t>
        </r>
      </text>
    </comment>
    <comment ref="C30" authorId="1" shapeId="0">
      <text>
        <r>
          <rPr>
            <b/>
            <sz val="9"/>
            <color indexed="81"/>
            <rFont val="Tahoma"/>
            <family val="2"/>
          </rPr>
          <t>Pretishma Singh:</t>
        </r>
        <r>
          <rPr>
            <sz val="9"/>
            <color indexed="81"/>
            <rFont val="Tahoma"/>
            <family val="2"/>
          </rPr>
          <t xml:space="preserve">
Exchange rate as at 29 December 2017 
1 FJD = USD 0.4789
</t>
        </r>
      </text>
    </comment>
  </commentList>
</comments>
</file>

<file path=xl/sharedStrings.xml><?xml version="1.0" encoding="utf-8"?>
<sst xmlns="http://schemas.openxmlformats.org/spreadsheetml/2006/main" count="82" uniqueCount="77">
  <si>
    <t>Indicative Aid Budget 2017</t>
  </si>
  <si>
    <t xml:space="preserve">BILATERAL FUNDING </t>
  </si>
  <si>
    <t>Currency</t>
  </si>
  <si>
    <t>FJD</t>
  </si>
  <si>
    <t>MULTI-LATERAL FUNDING</t>
  </si>
  <si>
    <t>Australian</t>
  </si>
  <si>
    <t>AUD</t>
  </si>
  <si>
    <t>EU</t>
  </si>
  <si>
    <t>EUR/USD</t>
  </si>
  <si>
    <t xml:space="preserve">Recurrent (Core) Budget </t>
  </si>
  <si>
    <r>
      <t xml:space="preserve">LifeLong Learning for Energy security, access and efficiency in African and Pacific SIDS (LEAP) </t>
    </r>
    <r>
      <rPr>
        <b/>
        <sz val="8"/>
        <rFont val="Arial"/>
        <family val="2"/>
      </rPr>
      <t>EUR</t>
    </r>
    <r>
      <rPr>
        <sz val="8"/>
        <rFont val="Arial"/>
        <family val="2"/>
      </rPr>
      <t xml:space="preserve"> </t>
    </r>
    <r>
      <rPr>
        <b/>
        <sz val="8"/>
        <rFont val="Arial"/>
        <family val="2"/>
      </rPr>
      <t>17,703</t>
    </r>
  </si>
  <si>
    <t>Service Agreement between USP and James Cook University (ACIAR)</t>
  </si>
  <si>
    <r>
      <t xml:space="preserve">Contract - External Actions of the European Union for the Support to the Global Climate Change Alliance (EUGCCA) through capacity building, community engagement and applied research in the Pacific - Phase II </t>
    </r>
    <r>
      <rPr>
        <b/>
        <sz val="8"/>
        <rFont val="Arial"/>
        <family val="2"/>
      </rPr>
      <t>EUR 150,000</t>
    </r>
  </si>
  <si>
    <t>Grant Agreement Deed between the Commonwealth of Australia and USP for DFAT’s support towards the implementation of the Support for Strengthening Pacific Public Sector Administration Management through the Pacific Islands Centre for Public Administration (PICPA) (2014-2017)</t>
  </si>
  <si>
    <r>
      <t xml:space="preserve">Letter Of Agreement between The University of the South Pacific and The Intergovernmental Panel on Climate Change (IPCC) </t>
    </r>
    <r>
      <rPr>
        <b/>
        <sz val="8"/>
        <rFont val="Arial"/>
        <family val="2"/>
      </rPr>
      <t>USD 31,908.24</t>
    </r>
  </si>
  <si>
    <t>Contract for the Provision of Services between the Commonwealth of Australia as represented by the Australian Centre for International Agricultural Research (ACIAR) and USP for the project ‘Postgraduate Scholarship Scheme’</t>
  </si>
  <si>
    <t>Total EU Aid</t>
  </si>
  <si>
    <t xml:space="preserve"> </t>
  </si>
  <si>
    <t>DFAT administered (aid) Simple Grant Agreement between Commonwealth of Australia and USP to implement the activity "Support to the Tonga Public Service Commission"</t>
  </si>
  <si>
    <t>DFAT administered (aid) Simple Grant Agreement between Commonwealth of Australia and USP to implement the activity "Support regional legal information database" via Pacific Legal Information Institute</t>
  </si>
  <si>
    <t>Total Multi-Lateral Funding</t>
  </si>
  <si>
    <t>Collaborative Agreement between USP and University of Sunshine Coast</t>
  </si>
  <si>
    <t>Total Australian Aid</t>
  </si>
  <si>
    <t>OTHER FUNDING</t>
  </si>
  <si>
    <t>USD / EUR / SBD/ TOP/ CAD/ KRW</t>
  </si>
  <si>
    <t>New Zealand</t>
  </si>
  <si>
    <t>NZD</t>
  </si>
  <si>
    <r>
      <t xml:space="preserve">Memorandum of Agreement (MOA) between The University of the South Pacific (USP) and the Pacific Islands Forum Fisheries Agency (FFA) </t>
    </r>
    <r>
      <rPr>
        <b/>
        <sz val="8"/>
        <rFont val="Arial"/>
        <family val="2"/>
      </rPr>
      <t>USD 17,500</t>
    </r>
  </si>
  <si>
    <t>Partnership Agreement between USP and Ministry of Foreign Affairs and Trade, New Zealand.</t>
  </si>
  <si>
    <r>
      <t xml:space="preserve">Contract for Consultant's Services between Secretariat of the Pacific Community and USP for the Implementation of the RESCCUE project in Fiji </t>
    </r>
    <r>
      <rPr>
        <b/>
        <sz val="8"/>
        <rFont val="Arial"/>
        <family val="2"/>
      </rPr>
      <t>EUR 205,000</t>
    </r>
  </si>
  <si>
    <t>Variation No 2 to Subcontract Agreement between Auckland Uniservices Limited and USP</t>
  </si>
  <si>
    <r>
      <t xml:space="preserve">Service Contract for Delivery of a Pilot School Leadership Programme for School Leaders in the Solomon Islands for Units 1–5 Professional Development between Ministry of Education and Human Resources Development (MEHRD) of Solomon Islands and USP through its Institute of Education (IOE) </t>
    </r>
    <r>
      <rPr>
        <b/>
        <sz val="8"/>
        <rFont val="Arial"/>
        <family val="2"/>
      </rPr>
      <t>SBD $5,373,444</t>
    </r>
  </si>
  <si>
    <t>Grant Funding Arrangement between USP and MFAT, NZ for the Upgrade of USPNet at the Regional Campuses</t>
  </si>
  <si>
    <t>Letter of Agreement between USP, Food and Agriculture Organisation (FAO)</t>
  </si>
  <si>
    <t>Variation No 3 to the Research Subcontract Agreement between Auckland Uniservices Limited (UniServices) and The University of the South Pacific (USP)</t>
  </si>
  <si>
    <r>
      <t xml:space="preserve">Service Contract for Teacher in Training (TIT) between Ministry of Education and Human Resources  Development and School of Education, USP and Makira Ulawa Education Authority.                                             50% of the total project contract amount paid upon sigining </t>
    </r>
    <r>
      <rPr>
        <b/>
        <sz val="8"/>
        <rFont val="Arial"/>
        <family val="2"/>
      </rPr>
      <t xml:space="preserve">SBD 969,313.26 </t>
    </r>
  </si>
  <si>
    <t>Variation No 4 to the Research Subcontract Agreement between Auckland Uniservices Limited (UniServices) and The University of the South Pacific (USP)</t>
  </si>
  <si>
    <t>Consultant's Services Agreement between USP and Fiji Ministry of Fisheries and Forests for Strategic Environmental and Social Assessment (SESA) for REDD+ project</t>
  </si>
  <si>
    <t>Sub-Contractor Agreement (dated 23 June 2017) between Elemental Power and Renewables Limited and USP NZCN: 3820456</t>
  </si>
  <si>
    <r>
      <t xml:space="preserve">Agreement Contract between USP and Ministry of Meteorology, Energy, Information, Disaster Management, Environment, Climate Change and Communications (MEIDECC) </t>
    </r>
    <r>
      <rPr>
        <b/>
        <sz val="8"/>
        <rFont val="Arial"/>
        <family val="2"/>
      </rPr>
      <t>TOP 108,140</t>
    </r>
  </si>
  <si>
    <t>Total New Zealand Aid</t>
  </si>
  <si>
    <r>
      <t xml:space="preserve">Financing Agreement (FA) between The University of the South Pacific (USP) and the Secretariat of the Pacific Community (SPC) for the European Union Pacific Technical and Vocational Education and Training on Sustainable Energy and Climate Change Adaptation or EU PacTVET project </t>
    </r>
    <r>
      <rPr>
        <b/>
        <sz val="8"/>
        <rFont val="Arial"/>
        <family val="2"/>
      </rPr>
      <t>EUR 849,157.50</t>
    </r>
    <r>
      <rPr>
        <sz val="8"/>
        <rFont val="Arial"/>
        <family val="2"/>
      </rPr>
      <t xml:space="preserve"> </t>
    </r>
  </si>
  <si>
    <t>USA</t>
  </si>
  <si>
    <t>USD</t>
  </si>
  <si>
    <r>
      <t xml:space="preserve">Consultancy Agreement (Contract no. FCPF CF 01) between USP and Department of Forests, Vanuatu - Readiness Preparation for Strategic
Environmental and Social Assessment (SESA) Project </t>
    </r>
    <r>
      <rPr>
        <b/>
        <sz val="8"/>
        <rFont val="Arial"/>
        <family val="2"/>
      </rPr>
      <t>USD 222,000</t>
    </r>
  </si>
  <si>
    <t xml:space="preserve">DAI - Pacific Islands Coastal Community Adaptation Project </t>
  </si>
  <si>
    <r>
      <t xml:space="preserve">Amendment CC 15/359-2 (Amendment no.2) to the Contract Implementation of the RESCCUE project in Fiji </t>
    </r>
    <r>
      <rPr>
        <b/>
        <sz val="8"/>
        <rFont val="Arial"/>
        <family val="2"/>
      </rPr>
      <t>EUR 272,000</t>
    </r>
  </si>
  <si>
    <t>Grant Agreement for the project ‘Developing Conservation Champions: Community-based Conservation Management Course’ between the Conservation International Foundation (‘CI’) and USP</t>
  </si>
  <si>
    <r>
      <t xml:space="preserve">Contractual Agreement between the Ministry of Lands and Mineral Resources through the Lands Department and the University of the South Pacific </t>
    </r>
    <r>
      <rPr>
        <b/>
        <sz val="8"/>
        <rFont val="Arial"/>
        <family val="2"/>
      </rPr>
      <t>FJD 45,900</t>
    </r>
  </si>
  <si>
    <t>Adapt Asia Pacific Project (AID-486-C-11-00005 with AECOM International Develoment, Inc.</t>
  </si>
  <si>
    <r>
      <t xml:space="preserve">Partnership Agreement between RMI Public School System and USP RMI Campus- Improving the Quality of Basis Education in the North Pacific Project </t>
    </r>
    <r>
      <rPr>
        <b/>
        <sz val="8"/>
        <rFont val="Arial"/>
        <family val="2"/>
      </rPr>
      <t>USD 289,024</t>
    </r>
  </si>
  <si>
    <t>MOU between USP and The Ocean Foundation</t>
  </si>
  <si>
    <t>Total Other Funding</t>
  </si>
  <si>
    <t>Total US Funding</t>
  </si>
  <si>
    <t>Japan</t>
  </si>
  <si>
    <t>JPY</t>
  </si>
  <si>
    <t>Japan's Friendship Ties "JENESYS 2017 " (Japan-East Asia Netwwork of Exchange for Students and Youths) Agreement between USP and Embassy of Japan in Fiji</t>
  </si>
  <si>
    <t xml:space="preserve">SUMMARY OF INDICATIVE AID BUDGET </t>
  </si>
  <si>
    <t>Total Japan Funding</t>
  </si>
  <si>
    <t>BILATERAL FUNDING</t>
  </si>
  <si>
    <t xml:space="preserve">People’s Republic of China </t>
  </si>
  <si>
    <t>MULTILATERAL FUNDING</t>
  </si>
  <si>
    <t xml:space="preserve">Agreement between the Confucius Institute Headquarters of China and USP on the dedicated site of a model Confucius Institute </t>
  </si>
  <si>
    <t xml:space="preserve">Total People’s Republic of China's Funding </t>
  </si>
  <si>
    <t>Total Bilateral Funding</t>
  </si>
  <si>
    <t>Total Indicative Aid Budget as at 31 December 2017</t>
  </si>
  <si>
    <t xml:space="preserve">Exchange Rate: </t>
  </si>
  <si>
    <t>Australia                    1 FJD = 0.6344 AUD on 05/01/2017; 1 FJD = 0.6140 AUD on 16/02/2017; 1 FJD = 0.6174 AUD on 01/03/2017;</t>
  </si>
  <si>
    <t xml:space="preserve">                                 1 FJD = 0.6150 AUD on 31/03/2017;  1 FJD = 0.6245 AUD on 16/06/2017;</t>
  </si>
  <si>
    <t>New Zealand              1 FJD = 0.6607 NZD on 05/01/2017;  1 FJD = 0.6580 NZD on 10/01/2017; 1 FJD = 0.6535 NZD on 20/06/2017;</t>
  </si>
  <si>
    <t xml:space="preserve">                                 1 FJD = 0.6495 NZD on 04/07/2017; 1 FJD = 0.6498 NZD on 14/07/2017;</t>
  </si>
  <si>
    <t>USA                          1 FJD = 0.4618 USD on 05/01/2017; 1 FJD = 0.4704 USD on 21/04/2017; 1 FJD = 0.4798 USD on 14/07/2017;</t>
  </si>
  <si>
    <t xml:space="preserve">                                 1 FJD = 0.4838 USD on 05/09/2017; 1 FJD = 0.4853 USD on 25/09/2017; 1 FJD = 0.4789 USD on 29/12/1017;</t>
  </si>
  <si>
    <t>EU                            1 FJD = 0.4419 EUR on 10/01/2017; 1 FJD = 0.4426 EUR on 20/03/2017; 1 FJD = 0.4120 EUR on 22/08/2017;</t>
  </si>
  <si>
    <t xml:space="preserve">Solomon Islands         1 FJD = 2.9024 SBD on 10/01/2017; </t>
  </si>
  <si>
    <t>Tonga                        1 FJD =  0.9920 TOP on 01/02/2017</t>
  </si>
  <si>
    <t>Japan                        1 FJD = 53.75 JPY on 25/09/2017;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</si>
</sst>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_-* #,##0.00_-;\-* #,##0.00_-;_-* &quot;-&quot;??_-;_-@_-"/>
    <numFmt numFmtId="165" formatCode="_-* #,##0_-;\-* #,##0_-;_-* &quot;-&quot;??_-;_-@_-"/>
  </numFmts>
  <fonts count="12" x14ac:knownFonts="1">
    <font>
      <sz val="10"/>
      <name val="Arial"/>
    </font>
    <font>
      <b/>
      <u/>
      <sz val="15"/>
      <name val="Arial"/>
      <family val="2"/>
    </font>
    <font>
      <b/>
      <u/>
      <sz val="8"/>
      <name val="Arial"/>
      <family val="2"/>
    </font>
    <font>
      <sz val="8"/>
      <name val="Arial"/>
      <family val="2"/>
    </font>
    <font>
      <sz val="10"/>
      <name val="Arial"/>
      <family val="2"/>
    </font>
    <font>
      <b/>
      <sz val="8"/>
      <name val="Arial"/>
      <family val="2"/>
    </font>
    <font>
      <sz val="8"/>
      <color theme="1"/>
      <name val="Arial"/>
      <family val="2"/>
    </font>
    <font>
      <sz val="8"/>
      <color theme="0"/>
      <name val="Arial"/>
      <family val="2"/>
    </font>
    <font>
      <b/>
      <sz val="8"/>
      <color theme="0"/>
      <name val="Arial"/>
      <family val="2"/>
    </font>
    <font>
      <b/>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indexed="47"/>
        <bgColor indexed="64"/>
      </patternFill>
    </fill>
    <fill>
      <patternFill patternType="solid">
        <fgColor theme="5"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5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xf numFmtId="0" fontId="0" fillId="0" borderId="4" xfId="0" applyBorder="1"/>
    <xf numFmtId="3" fontId="2" fillId="2" borderId="1" xfId="0" applyNumberFormat="1" applyFont="1" applyFill="1" applyBorder="1" applyAlignment="1"/>
    <xf numFmtId="3" fontId="2" fillId="2" borderId="1" xfId="0" applyNumberFormat="1" applyFont="1" applyFill="1" applyBorder="1" applyAlignment="1">
      <alignment horizontal="center"/>
    </xf>
    <xf numFmtId="3" fontId="2" fillId="3" borderId="1" xfId="0" applyNumberFormat="1" applyFont="1" applyFill="1" applyBorder="1" applyAlignment="1">
      <alignment wrapText="1"/>
    </xf>
    <xf numFmtId="3" fontId="2" fillId="3" borderId="1" xfId="0" applyNumberFormat="1" applyFont="1" applyFill="1" applyBorder="1" applyAlignment="1">
      <alignment horizontal="center" wrapText="1"/>
    </xf>
    <xf numFmtId="0" fontId="3" fillId="3" borderId="1" xfId="0" applyFont="1" applyFill="1" applyBorder="1" applyAlignment="1">
      <alignment vertical="top" wrapText="1"/>
    </xf>
    <xf numFmtId="0" fontId="2" fillId="3" borderId="1" xfId="0" applyFont="1" applyFill="1" applyBorder="1"/>
    <xf numFmtId="0" fontId="2" fillId="3" borderId="1" xfId="0" applyFont="1" applyFill="1" applyBorder="1" applyAlignment="1">
      <alignment horizontal="center"/>
    </xf>
    <xf numFmtId="41" fontId="3" fillId="3" borderId="1" xfId="1" applyNumberFormat="1" applyFont="1" applyFill="1" applyBorder="1"/>
    <xf numFmtId="3" fontId="3" fillId="0" borderId="1" xfId="0" applyNumberFormat="1" applyFont="1" applyFill="1" applyBorder="1" applyAlignment="1">
      <alignment wrapText="1"/>
    </xf>
    <xf numFmtId="41" fontId="3" fillId="0" borderId="1" xfId="1" applyNumberFormat="1" applyFont="1" applyFill="1" applyBorder="1" applyAlignment="1">
      <alignment wrapText="1"/>
    </xf>
    <xf numFmtId="0" fontId="3" fillId="0" borderId="2" xfId="0" applyFont="1" applyFill="1" applyBorder="1" applyAlignment="1">
      <alignment wrapText="1"/>
    </xf>
    <xf numFmtId="165" fontId="3" fillId="0" borderId="2" xfId="1" applyNumberFormat="1" applyFont="1" applyFill="1" applyBorder="1" applyAlignment="1">
      <alignment wrapText="1"/>
    </xf>
    <xf numFmtId="165" fontId="3" fillId="0" borderId="1" xfId="1" applyNumberFormat="1" applyFont="1" applyFill="1" applyBorder="1"/>
    <xf numFmtId="0" fontId="3" fillId="0" borderId="1" xfId="0" applyFont="1" applyFill="1" applyBorder="1" applyAlignment="1">
      <alignment wrapText="1"/>
    </xf>
    <xf numFmtId="165" fontId="3" fillId="0" borderId="1" xfId="1" applyNumberFormat="1" applyFont="1" applyFill="1" applyBorder="1" applyAlignment="1">
      <alignment wrapText="1"/>
    </xf>
    <xf numFmtId="165" fontId="6" fillId="0" borderId="1" xfId="1" applyNumberFormat="1" applyFont="1" applyFill="1" applyBorder="1" applyAlignment="1">
      <alignment horizontal="right" wrapText="1"/>
    </xf>
    <xf numFmtId="41" fontId="3" fillId="0" borderId="1" xfId="1" applyNumberFormat="1" applyFont="1" applyFill="1" applyBorder="1" applyAlignment="1">
      <alignment horizontal="right" wrapText="1"/>
    </xf>
    <xf numFmtId="165" fontId="5" fillId="3" borderId="1" xfId="0" applyNumberFormat="1" applyFont="1" applyFill="1" applyBorder="1"/>
    <xf numFmtId="0" fontId="2" fillId="0" borderId="1" xfId="0" applyFont="1" applyFill="1" applyBorder="1"/>
    <xf numFmtId="165" fontId="5" fillId="0" borderId="1" xfId="0" applyNumberFormat="1" applyFont="1" applyFill="1" applyBorder="1"/>
    <xf numFmtId="3" fontId="2" fillId="4" borderId="1" xfId="0" applyNumberFormat="1" applyFont="1" applyFill="1" applyBorder="1"/>
    <xf numFmtId="3" fontId="5" fillId="4" borderId="1" xfId="0" applyNumberFormat="1" applyFont="1" applyFill="1" applyBorder="1"/>
    <xf numFmtId="41" fontId="5" fillId="4" borderId="1" xfId="1" applyNumberFormat="1" applyFont="1" applyFill="1" applyBorder="1"/>
    <xf numFmtId="3" fontId="2" fillId="0" borderId="1" xfId="0" applyNumberFormat="1" applyFont="1" applyFill="1" applyBorder="1"/>
    <xf numFmtId="3" fontId="5" fillId="0" borderId="1" xfId="0" applyNumberFormat="1" applyFont="1" applyFill="1" applyBorder="1"/>
    <xf numFmtId="41" fontId="5" fillId="0" borderId="1" xfId="1" applyNumberFormat="1" applyFont="1" applyFill="1" applyBorder="1"/>
    <xf numFmtId="3" fontId="5" fillId="3" borderId="1" xfId="0" applyNumberFormat="1" applyFont="1" applyFill="1" applyBorder="1" applyAlignment="1">
      <alignment wrapText="1"/>
    </xf>
    <xf numFmtId="3" fontId="5" fillId="5" borderId="1" xfId="0" applyNumberFormat="1" applyFont="1" applyFill="1" applyBorder="1" applyAlignment="1">
      <alignment wrapText="1"/>
    </xf>
    <xf numFmtId="3" fontId="2" fillId="2" borderId="1" xfId="0" applyNumberFormat="1" applyFont="1" applyFill="1" applyBorder="1" applyAlignment="1">
      <alignment horizontal="center" wrapText="1"/>
    </xf>
    <xf numFmtId="41" fontId="3" fillId="3" borderId="1" xfId="0" applyNumberFormat="1" applyFont="1" applyFill="1" applyBorder="1" applyAlignment="1">
      <alignment vertical="top" wrapText="1"/>
    </xf>
    <xf numFmtId="9" fontId="3" fillId="0" borderId="1" xfId="3" applyFont="1" applyFill="1" applyBorder="1" applyAlignment="1">
      <alignment wrapText="1"/>
    </xf>
    <xf numFmtId="0" fontId="6" fillId="0" borderId="1" xfId="0" applyFont="1" applyFill="1" applyBorder="1" applyAlignment="1">
      <alignment wrapText="1"/>
    </xf>
    <xf numFmtId="3" fontId="6" fillId="0" borderId="1" xfId="0" applyNumberFormat="1" applyFont="1" applyFill="1" applyBorder="1" applyAlignment="1">
      <alignment wrapText="1"/>
    </xf>
    <xf numFmtId="41" fontId="3" fillId="0" borderId="1" xfId="0" applyNumberFormat="1" applyFont="1" applyFill="1" applyBorder="1" applyAlignment="1">
      <alignment horizontal="right" wrapText="1"/>
    </xf>
    <xf numFmtId="0" fontId="6" fillId="0" borderId="1" xfId="0" applyFont="1" applyFill="1" applyBorder="1" applyAlignment="1">
      <alignment vertical="top" wrapText="1"/>
    </xf>
    <xf numFmtId="9" fontId="2" fillId="3" borderId="1" xfId="3" applyFont="1" applyFill="1" applyBorder="1" applyAlignment="1"/>
    <xf numFmtId="9" fontId="2" fillId="3" borderId="1" xfId="3" applyFont="1" applyFill="1" applyBorder="1" applyAlignment="1">
      <alignment horizontal="center"/>
    </xf>
    <xf numFmtId="0" fontId="3" fillId="0" borderId="5" xfId="0" applyFont="1" applyFill="1" applyBorder="1"/>
    <xf numFmtId="0" fontId="3" fillId="0" borderId="5" xfId="0" applyFont="1" applyFill="1" applyBorder="1" applyAlignment="1">
      <alignment wrapText="1"/>
    </xf>
    <xf numFmtId="165" fontId="3" fillId="0" borderId="5" xfId="1" applyNumberFormat="1" applyFont="1" applyFill="1" applyBorder="1"/>
    <xf numFmtId="3" fontId="2" fillId="3" borderId="1" xfId="0" applyNumberFormat="1" applyFont="1" applyFill="1" applyBorder="1"/>
    <xf numFmtId="3" fontId="5" fillId="3" borderId="1" xfId="0" applyNumberFormat="1" applyFont="1" applyFill="1" applyBorder="1"/>
    <xf numFmtId="3" fontId="3" fillId="0" borderId="1" xfId="0" applyNumberFormat="1" applyFont="1" applyFill="1" applyBorder="1"/>
    <xf numFmtId="3" fontId="2" fillId="6" borderId="1" xfId="0" applyNumberFormat="1" applyFont="1" applyFill="1" applyBorder="1" applyAlignment="1">
      <alignment horizontal="left"/>
    </xf>
    <xf numFmtId="41" fontId="7" fillId="6" borderId="1" xfId="1" applyNumberFormat="1" applyFont="1" applyFill="1" applyBorder="1"/>
    <xf numFmtId="3" fontId="8" fillId="6" borderId="1" xfId="0" applyNumberFormat="1" applyFont="1" applyFill="1" applyBorder="1" applyAlignment="1">
      <alignment horizontal="left" indent="1"/>
    </xf>
    <xf numFmtId="41" fontId="8" fillId="6" borderId="1" xfId="1" applyNumberFormat="1" applyFont="1" applyFill="1" applyBorder="1"/>
    <xf numFmtId="41" fontId="5" fillId="4" borderId="1" xfId="0" applyNumberFormat="1" applyFont="1" applyFill="1" applyBorder="1"/>
    <xf numFmtId="165" fontId="5" fillId="4" borderId="1" xfId="1" applyNumberFormat="1" applyFont="1" applyFill="1" applyBorder="1"/>
    <xf numFmtId="3" fontId="8" fillId="6" borderId="1" xfId="0" applyNumberFormat="1" applyFont="1" applyFill="1" applyBorder="1" applyAlignment="1">
      <alignment horizontal="left" vertical="center" wrapText="1"/>
    </xf>
    <xf numFmtId="41" fontId="8" fillId="6" borderId="1" xfId="2" applyNumberFormat="1" applyFont="1" applyFill="1" applyBorder="1" applyAlignment="1">
      <alignment vertical="center"/>
    </xf>
    <xf numFmtId="0" fontId="9" fillId="0" borderId="0" xfId="0" applyFont="1"/>
    <xf numFmtId="0" fontId="4"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abSelected="1" zoomScaleNormal="100" workbookViewId="0">
      <selection activeCell="F42" sqref="F42"/>
    </sheetView>
  </sheetViews>
  <sheetFormatPr defaultRowHeight="13.2" x14ac:dyDescent="0.25"/>
  <cols>
    <col min="1" max="1" width="48.6640625" customWidth="1"/>
    <col min="2" max="2" width="10.109375" bestFit="1" customWidth="1"/>
    <col min="3" max="3" width="9.77734375" bestFit="1" customWidth="1"/>
    <col min="4" max="4" width="50" customWidth="1"/>
    <col min="5" max="5" width="9" bestFit="1" customWidth="1"/>
    <col min="6" max="6" width="9.77734375" bestFit="1" customWidth="1"/>
  </cols>
  <sheetData>
    <row r="1" spans="1:10" ht="19.2" x14ac:dyDescent="0.25">
      <c r="A1" s="1" t="s">
        <v>0</v>
      </c>
      <c r="B1" s="1"/>
      <c r="C1" s="1"/>
      <c r="D1" s="2"/>
      <c r="E1" s="3"/>
      <c r="F1" s="4"/>
    </row>
    <row r="2" spans="1:10" x14ac:dyDescent="0.25">
      <c r="A2" s="5" t="s">
        <v>1</v>
      </c>
      <c r="B2" s="6" t="s">
        <v>2</v>
      </c>
      <c r="C2" s="6" t="s">
        <v>3</v>
      </c>
      <c r="D2" s="5" t="s">
        <v>4</v>
      </c>
      <c r="E2" s="6" t="s">
        <v>2</v>
      </c>
      <c r="F2" s="6" t="s">
        <v>3</v>
      </c>
    </row>
    <row r="3" spans="1:10" x14ac:dyDescent="0.25">
      <c r="A3" s="7" t="s">
        <v>5</v>
      </c>
      <c r="B3" s="8" t="s">
        <v>6</v>
      </c>
      <c r="C3" s="9"/>
      <c r="D3" s="10" t="s">
        <v>7</v>
      </c>
      <c r="E3" s="11" t="s">
        <v>8</v>
      </c>
      <c r="F3" s="12"/>
    </row>
    <row r="4" spans="1:10" ht="21" x14ac:dyDescent="0.25">
      <c r="A4" s="13" t="s">
        <v>9</v>
      </c>
      <c r="B4" s="13">
        <f>7000000+7000000</f>
        <v>14000000</v>
      </c>
      <c r="C4" s="14">
        <f>(7000000/0.6344)+(7000000/0.6245)</f>
        <v>22243015.093032811</v>
      </c>
      <c r="D4" s="15" t="s">
        <v>10</v>
      </c>
      <c r="E4" s="16">
        <f>17702.69</f>
        <v>17702.689999999999</v>
      </c>
      <c r="F4" s="17">
        <f>17703/0.4434</f>
        <v>39925.575101488495</v>
      </c>
    </row>
    <row r="5" spans="1:10" ht="41.4" x14ac:dyDescent="0.25">
      <c r="A5" s="18" t="s">
        <v>11</v>
      </c>
      <c r="B5" s="13">
        <v>4200</v>
      </c>
      <c r="C5" s="14">
        <f>4200/0.6344</f>
        <v>6620.4287515762926</v>
      </c>
      <c r="D5" s="18" t="s">
        <v>12</v>
      </c>
      <c r="E5" s="19">
        <v>150000</v>
      </c>
      <c r="F5" s="17">
        <f>150000/0.3973</f>
        <v>377548.4520513466</v>
      </c>
    </row>
    <row r="6" spans="1:10" ht="41.4" x14ac:dyDescent="0.25">
      <c r="A6" s="18" t="s">
        <v>13</v>
      </c>
      <c r="B6" s="20">
        <v>600000</v>
      </c>
      <c r="C6" s="21">
        <f>B6/0.6344</f>
        <v>945775.5359394704</v>
      </c>
      <c r="D6" s="18" t="s">
        <v>14</v>
      </c>
      <c r="E6" s="19">
        <v>31908.240000000002</v>
      </c>
      <c r="F6" s="17">
        <f>31908/0.4838</f>
        <v>65952.873088052918</v>
      </c>
    </row>
    <row r="7" spans="1:10" ht="41.4" x14ac:dyDescent="0.25">
      <c r="A7" s="18" t="s">
        <v>15</v>
      </c>
      <c r="B7" s="20">
        <v>450000</v>
      </c>
      <c r="C7" s="21">
        <f>450000/0.6344</f>
        <v>709331.6519546028</v>
      </c>
      <c r="D7" s="10" t="s">
        <v>16</v>
      </c>
      <c r="E7" s="22"/>
      <c r="F7" s="22">
        <f>SUM(F4:F6)</f>
        <v>483426.900240888</v>
      </c>
      <c r="J7" t="s">
        <v>17</v>
      </c>
    </row>
    <row r="8" spans="1:10" ht="31.2" x14ac:dyDescent="0.25">
      <c r="A8" s="18" t="s">
        <v>18</v>
      </c>
      <c r="B8" s="20">
        <v>100050</v>
      </c>
      <c r="C8" s="21">
        <f>100050/0.614</f>
        <v>162947.88273615635</v>
      </c>
      <c r="D8" s="23"/>
      <c r="E8" s="24"/>
      <c r="F8" s="24"/>
    </row>
    <row r="9" spans="1:10" ht="31.2" x14ac:dyDescent="0.25">
      <c r="A9" s="18" t="s">
        <v>19</v>
      </c>
      <c r="B9" s="20">
        <v>500000</v>
      </c>
      <c r="C9" s="21">
        <f>500000/0.6174</f>
        <v>809847.7486232589</v>
      </c>
      <c r="D9" s="25" t="s">
        <v>20</v>
      </c>
      <c r="E9" s="26"/>
      <c r="F9" s="27">
        <f>F7</f>
        <v>483426.900240888</v>
      </c>
    </row>
    <row r="10" spans="1:10" x14ac:dyDescent="0.25">
      <c r="A10" s="18" t="s">
        <v>21</v>
      </c>
      <c r="B10" s="20">
        <v>75000</v>
      </c>
      <c r="C10" s="21">
        <f>75000/0.615</f>
        <v>121951.21951219512</v>
      </c>
      <c r="D10" s="28"/>
      <c r="E10" s="29"/>
      <c r="F10" s="30"/>
    </row>
    <row r="11" spans="1:10" ht="31.2" x14ac:dyDescent="0.25">
      <c r="A11" s="31" t="s">
        <v>22</v>
      </c>
      <c r="B11" s="32">
        <f>SUM(B4:B10)</f>
        <v>15729250</v>
      </c>
      <c r="C11" s="32">
        <f>SUM(C4:C10)</f>
        <v>24999489.560550071</v>
      </c>
      <c r="D11" s="5" t="s">
        <v>23</v>
      </c>
      <c r="E11" s="33" t="s">
        <v>24</v>
      </c>
      <c r="F11" s="6"/>
    </row>
    <row r="12" spans="1:10" ht="31.2" x14ac:dyDescent="0.25">
      <c r="A12" s="7" t="s">
        <v>25</v>
      </c>
      <c r="B12" s="8" t="s">
        <v>26</v>
      </c>
      <c r="C12" s="34"/>
      <c r="D12" s="35" t="s">
        <v>27</v>
      </c>
      <c r="E12" s="13">
        <v>17500</v>
      </c>
      <c r="F12" s="13">
        <f>17500/0.4618</f>
        <v>37895.192724123001</v>
      </c>
    </row>
    <row r="13" spans="1:10" ht="31.2" x14ac:dyDescent="0.25">
      <c r="A13" s="36" t="s">
        <v>28</v>
      </c>
      <c r="B13" s="37">
        <v>5000000</v>
      </c>
      <c r="C13" s="38">
        <f>5000000/0.6607</f>
        <v>7567731.1941879829</v>
      </c>
      <c r="D13" s="18" t="s">
        <v>29</v>
      </c>
      <c r="E13" s="13">
        <v>169000</v>
      </c>
      <c r="F13" s="13">
        <f>169000/0.412</f>
        <v>410194.17475728155</v>
      </c>
    </row>
    <row r="14" spans="1:10" ht="51.6" x14ac:dyDescent="0.25">
      <c r="A14" s="39" t="s">
        <v>30</v>
      </c>
      <c r="B14" s="37">
        <v>220000</v>
      </c>
      <c r="C14" s="14">
        <f>B14/0.658</f>
        <v>334346.50455927051</v>
      </c>
      <c r="D14" s="18" t="s">
        <v>31</v>
      </c>
      <c r="E14" s="13">
        <v>5373444</v>
      </c>
      <c r="F14" s="13">
        <f>E14/2.9024</f>
        <v>1851379.5479603086</v>
      </c>
    </row>
    <row r="15" spans="1:10" ht="21" x14ac:dyDescent="0.25">
      <c r="A15" s="39" t="s">
        <v>32</v>
      </c>
      <c r="B15" s="37">
        <v>2000000</v>
      </c>
      <c r="C15" s="14">
        <f>B15/0.6535</f>
        <v>3060443.7643458303</v>
      </c>
      <c r="D15" s="18" t="s">
        <v>33</v>
      </c>
      <c r="E15" s="13"/>
      <c r="F15" s="13">
        <v>7890</v>
      </c>
    </row>
    <row r="16" spans="1:10" ht="41.4" x14ac:dyDescent="0.25">
      <c r="A16" s="39" t="s">
        <v>34</v>
      </c>
      <c r="B16" s="37">
        <v>15000.6</v>
      </c>
      <c r="C16" s="14">
        <f>15001.6/0.6495</f>
        <v>23097.151655119324</v>
      </c>
      <c r="D16" s="18" t="s">
        <v>35</v>
      </c>
      <c r="E16" s="13">
        <v>969313.26</v>
      </c>
      <c r="F16" s="13">
        <f>E16/2.9024</f>
        <v>333969.56312017638</v>
      </c>
    </row>
    <row r="17" spans="1:6" ht="31.2" x14ac:dyDescent="0.25">
      <c r="A17" s="39" t="s">
        <v>36</v>
      </c>
      <c r="B17" s="37">
        <v>7875</v>
      </c>
      <c r="C17" s="14">
        <f>7875/0.6498</f>
        <v>12119.113573407201</v>
      </c>
      <c r="D17" s="18" t="s">
        <v>37</v>
      </c>
      <c r="E17" s="13"/>
      <c r="F17" s="13">
        <v>418780</v>
      </c>
    </row>
    <row r="18" spans="1:6" ht="31.2" x14ac:dyDescent="0.25">
      <c r="A18" s="39" t="s">
        <v>38</v>
      </c>
      <c r="B18" s="37"/>
      <c r="C18" s="14">
        <v>12000</v>
      </c>
      <c r="D18" s="18" t="s">
        <v>39</v>
      </c>
      <c r="E18" s="13">
        <v>108140</v>
      </c>
      <c r="F18" s="13">
        <f>108140/ 0.992</f>
        <v>109012.09677419355</v>
      </c>
    </row>
    <row r="19" spans="1:6" ht="51.6" x14ac:dyDescent="0.25">
      <c r="A19" s="31" t="s">
        <v>40</v>
      </c>
      <c r="B19" s="31">
        <f>SUM(B13:B17)</f>
        <v>7242875.5999999996</v>
      </c>
      <c r="C19" s="31">
        <f>SUM(C13:C17)</f>
        <v>10997737.72832161</v>
      </c>
      <c r="D19" s="18" t="s">
        <v>41</v>
      </c>
      <c r="E19" s="13">
        <v>849157.5</v>
      </c>
      <c r="F19" s="13">
        <f>E19/0.4426</f>
        <v>1918566.4256665162</v>
      </c>
    </row>
    <row r="20" spans="1:6" ht="31.2" x14ac:dyDescent="0.25">
      <c r="A20" s="40" t="s">
        <v>42</v>
      </c>
      <c r="B20" s="41" t="s">
        <v>43</v>
      </c>
      <c r="C20" s="41"/>
      <c r="D20" s="18" t="s">
        <v>44</v>
      </c>
      <c r="E20" s="13">
        <v>222000</v>
      </c>
      <c r="F20" s="13">
        <f>222000/0.4704</f>
        <v>471938.77551020408</v>
      </c>
    </row>
    <row r="21" spans="1:6" ht="21" x14ac:dyDescent="0.25">
      <c r="A21" s="42" t="s">
        <v>45</v>
      </c>
      <c r="B21" s="17">
        <v>185455.89</v>
      </c>
      <c r="C21" s="17">
        <f>185455.89/0.4618</f>
        <v>401593.52533564315</v>
      </c>
      <c r="D21" s="18" t="s">
        <v>46</v>
      </c>
      <c r="E21" s="13">
        <v>272000</v>
      </c>
      <c r="F21" s="13">
        <f>272000/0.412</f>
        <v>660194.17475728155</v>
      </c>
    </row>
    <row r="22" spans="1:6" ht="31.2" x14ac:dyDescent="0.25">
      <c r="A22" s="43" t="s">
        <v>47</v>
      </c>
      <c r="B22" s="44">
        <v>25823.89</v>
      </c>
      <c r="C22" s="17">
        <f>25824/0.4618</f>
        <v>55920.31182330013</v>
      </c>
      <c r="D22" s="18" t="s">
        <v>48</v>
      </c>
      <c r="E22" s="13"/>
      <c r="F22" s="13">
        <v>45900</v>
      </c>
    </row>
    <row r="23" spans="1:6" ht="31.2" x14ac:dyDescent="0.25">
      <c r="A23" s="43" t="s">
        <v>49</v>
      </c>
      <c r="B23" s="44">
        <v>38323.68</v>
      </c>
      <c r="C23" s="17">
        <f>38324/0.4798</f>
        <v>79874.947894956233</v>
      </c>
      <c r="D23" s="18" t="s">
        <v>50</v>
      </c>
      <c r="E23" s="13">
        <v>289024</v>
      </c>
      <c r="F23" s="13">
        <f>289024/0.4853</f>
        <v>595557.38718318567</v>
      </c>
    </row>
    <row r="24" spans="1:6" x14ac:dyDescent="0.25">
      <c r="A24" s="43" t="s">
        <v>51</v>
      </c>
      <c r="B24" s="44"/>
      <c r="C24" s="17">
        <v>25050.17</v>
      </c>
      <c r="D24" s="25" t="s">
        <v>52</v>
      </c>
      <c r="E24" s="25"/>
      <c r="F24" s="27">
        <f>SUM(F12:F23)</f>
        <v>6861277.3384532705</v>
      </c>
    </row>
    <row r="25" spans="1:6" x14ac:dyDescent="0.25">
      <c r="A25" s="45" t="s">
        <v>53</v>
      </c>
      <c r="B25" s="46">
        <f>SUM(B21:B23)</f>
        <v>249603.46000000002</v>
      </c>
      <c r="C25" s="46">
        <f>SUM(C21:C24)</f>
        <v>562438.95505389955</v>
      </c>
      <c r="D25" s="28"/>
      <c r="E25" s="28"/>
      <c r="F25" s="30"/>
    </row>
    <row r="26" spans="1:6" x14ac:dyDescent="0.25">
      <c r="A26" s="40" t="s">
        <v>54</v>
      </c>
      <c r="B26" s="41" t="s">
        <v>55</v>
      </c>
      <c r="C26" s="41"/>
      <c r="D26" s="28"/>
      <c r="E26" s="28"/>
      <c r="F26" s="30"/>
    </row>
    <row r="27" spans="1:6" ht="31.2" x14ac:dyDescent="0.25">
      <c r="A27" s="13" t="s">
        <v>56</v>
      </c>
      <c r="B27" s="47">
        <v>136638000</v>
      </c>
      <c r="C27" s="47">
        <f>136638000/53.75</f>
        <v>2542102.3255813955</v>
      </c>
      <c r="D27" s="48" t="s">
        <v>57</v>
      </c>
      <c r="E27" s="48"/>
      <c r="F27" s="49"/>
    </row>
    <row r="28" spans="1:6" x14ac:dyDescent="0.25">
      <c r="A28" s="45" t="s">
        <v>58</v>
      </c>
      <c r="B28" s="46">
        <f>B27</f>
        <v>136638000</v>
      </c>
      <c r="C28" s="46">
        <f>C27</f>
        <v>2542102.3255813955</v>
      </c>
      <c r="D28" s="50" t="s">
        <v>59</v>
      </c>
      <c r="E28" s="50"/>
      <c r="F28" s="51">
        <f>C32</f>
        <v>42068557.460716002</v>
      </c>
    </row>
    <row r="29" spans="1:6" x14ac:dyDescent="0.25">
      <c r="A29" s="40" t="s">
        <v>60</v>
      </c>
      <c r="B29" s="41" t="s">
        <v>43</v>
      </c>
      <c r="C29" s="41"/>
      <c r="D29" s="50" t="s">
        <v>61</v>
      </c>
      <c r="E29" s="50"/>
      <c r="F29" s="51">
        <f>F9</f>
        <v>483426.900240888</v>
      </c>
    </row>
    <row r="30" spans="1:6" ht="21" x14ac:dyDescent="0.25">
      <c r="A30" s="35" t="s">
        <v>62</v>
      </c>
      <c r="B30" s="47">
        <f>0.8*1775994</f>
        <v>1420795.2000000002</v>
      </c>
      <c r="C30" s="47">
        <f>B30/0.4789</f>
        <v>2966788.8912090212</v>
      </c>
      <c r="D30" s="50"/>
      <c r="E30" s="50"/>
      <c r="F30" s="51"/>
    </row>
    <row r="31" spans="1:6" x14ac:dyDescent="0.25">
      <c r="A31" s="45" t="s">
        <v>63</v>
      </c>
      <c r="B31" s="46">
        <f>B30</f>
        <v>1420795.2000000002</v>
      </c>
      <c r="C31" s="46">
        <f>C30</f>
        <v>2966788.8912090212</v>
      </c>
      <c r="D31" s="50" t="s">
        <v>23</v>
      </c>
      <c r="E31" s="50"/>
      <c r="F31" s="51">
        <f>F24</f>
        <v>6861277.3384532705</v>
      </c>
    </row>
    <row r="32" spans="1:6" x14ac:dyDescent="0.25">
      <c r="A32" s="25" t="s">
        <v>64</v>
      </c>
      <c r="B32" s="52"/>
      <c r="C32" s="53">
        <f>C11+C19+C25+C28+C31</f>
        <v>42068557.460716002</v>
      </c>
      <c r="D32" s="54" t="s">
        <v>65</v>
      </c>
      <c r="E32" s="54"/>
      <c r="F32" s="55">
        <f>SUM(F28:F31)</f>
        <v>49413261.699410163</v>
      </c>
    </row>
    <row r="34" spans="1:3" x14ac:dyDescent="0.25">
      <c r="A34" s="56" t="s">
        <v>66</v>
      </c>
    </row>
    <row r="35" spans="1:3" x14ac:dyDescent="0.25">
      <c r="A35" s="57" t="s">
        <v>67</v>
      </c>
    </row>
    <row r="36" spans="1:3" x14ac:dyDescent="0.25">
      <c r="A36" s="57" t="s">
        <v>68</v>
      </c>
    </row>
    <row r="37" spans="1:3" x14ac:dyDescent="0.25">
      <c r="A37" t="s">
        <v>69</v>
      </c>
    </row>
    <row r="38" spans="1:3" x14ac:dyDescent="0.25">
      <c r="A38" t="s">
        <v>70</v>
      </c>
    </row>
    <row r="39" spans="1:3" x14ac:dyDescent="0.25">
      <c r="A39" s="57" t="s">
        <v>71</v>
      </c>
    </row>
    <row r="40" spans="1:3" x14ac:dyDescent="0.25">
      <c r="A40" s="57" t="s">
        <v>72</v>
      </c>
    </row>
    <row r="41" spans="1:3" x14ac:dyDescent="0.25">
      <c r="A41" s="57" t="s">
        <v>73</v>
      </c>
    </row>
    <row r="42" spans="1:3" x14ac:dyDescent="0.25">
      <c r="A42" t="s">
        <v>74</v>
      </c>
    </row>
    <row r="43" spans="1:3" x14ac:dyDescent="0.25">
      <c r="A43" s="57" t="s">
        <v>75</v>
      </c>
    </row>
    <row r="44" spans="1:3" x14ac:dyDescent="0.25">
      <c r="A44" s="57" t="s">
        <v>76</v>
      </c>
    </row>
    <row r="46" spans="1:3" x14ac:dyDescent="0.25">
      <c r="C46" t="s">
        <v>17</v>
      </c>
    </row>
  </sheetData>
  <mergeCells count="1">
    <mergeCell ref="A1:D1"/>
  </mergeCells>
  <pageMargins left="0.7" right="0.7" top="0.75" bottom="0.75" header="0.3" footer="0.3"/>
  <pageSetup scale="7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Indicative Aid 2017</vt:lpstr>
    </vt:vector>
  </TitlesOfParts>
  <Company>The University of the South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Pretishma Singh</dc:creator>
  <cp:lastModifiedBy>Pretishma Singh</cp:lastModifiedBy>
  <dcterms:created xsi:type="dcterms:W3CDTF">2021-07-14T03:14:12Z</dcterms:created>
  <dcterms:modified xsi:type="dcterms:W3CDTF">2021-07-14T03:15:06Z</dcterms:modified>
</cp:coreProperties>
</file>