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ingh_pt\Desktop\WFH\Indicative Aid Budget\"/>
    </mc:Choice>
  </mc:AlternateContent>
  <bookViews>
    <workbookView xWindow="0" yWindow="0" windowWidth="23040" windowHeight="8616"/>
  </bookViews>
  <sheets>
    <sheet name="Indicative Aid 2020"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B32" i="1"/>
  <c r="C30" i="1"/>
  <c r="F28" i="1"/>
  <c r="F27" i="1"/>
  <c r="B27" i="1"/>
  <c r="F26" i="1"/>
  <c r="F25" i="1"/>
  <c r="F24" i="1"/>
  <c r="C24" i="1"/>
  <c r="C27" i="1" s="1"/>
  <c r="F22" i="1"/>
  <c r="C22" i="1"/>
  <c r="B22" i="1"/>
  <c r="F21" i="1"/>
  <c r="F20" i="1"/>
  <c r="F29" i="1" s="1"/>
  <c r="F34" i="1" s="1"/>
  <c r="C20" i="1"/>
  <c r="F19" i="1"/>
  <c r="C19" i="1"/>
  <c r="C18" i="1"/>
  <c r="C17" i="1"/>
  <c r="F16" i="1"/>
  <c r="C16" i="1"/>
  <c r="F15" i="1"/>
  <c r="C15" i="1"/>
  <c r="F14" i="1"/>
  <c r="F12" i="1"/>
  <c r="F17" i="1" s="1"/>
  <c r="C10" i="1"/>
  <c r="B10" i="1"/>
  <c r="F9" i="1"/>
  <c r="C9" i="1"/>
  <c r="F8" i="1"/>
  <c r="F10" i="1" s="1"/>
  <c r="F18" i="1" s="1"/>
  <c r="F32" i="1" s="1"/>
  <c r="C8" i="1"/>
  <c r="F7" i="1"/>
  <c r="C7" i="1"/>
  <c r="F6" i="1"/>
  <c r="C6" i="1"/>
  <c r="B6" i="1"/>
  <c r="B13" i="1" s="1"/>
  <c r="F5" i="1"/>
  <c r="C5" i="1"/>
  <c r="C13" i="1" s="1"/>
  <c r="C35" i="1" s="1"/>
  <c r="F31" i="1" s="1"/>
  <c r="F35" i="1" s="1"/>
  <c r="C4" i="1"/>
</calcChain>
</file>

<file path=xl/comments1.xml><?xml version="1.0" encoding="utf-8"?>
<comments xmlns="http://schemas.openxmlformats.org/spreadsheetml/2006/main">
  <authors>
    <author>singh_pt</author>
    <author>Pretishma Singh</author>
  </authors>
  <commentList>
    <comment ref="C4" authorId="0" shapeId="0">
      <text>
        <r>
          <rPr>
            <b/>
            <sz val="9"/>
            <color indexed="81"/>
            <rFont val="Tahoma"/>
            <family val="2"/>
          </rPr>
          <t>singh_pt:</t>
        </r>
        <r>
          <rPr>
            <sz val="9"/>
            <color indexed="81"/>
            <rFont val="Tahoma"/>
            <family val="2"/>
          </rPr>
          <t xml:space="preserve">
1 FJD = 0.6569 AUD 
Exchange rate as at 13 Jan 2020</t>
        </r>
      </text>
    </comment>
    <comment ref="C5" authorId="1" shapeId="0">
      <text>
        <r>
          <rPr>
            <b/>
            <sz val="9"/>
            <color indexed="81"/>
            <rFont val="Tahoma"/>
            <family val="2"/>
          </rPr>
          <t>Pretishma Singh:</t>
        </r>
        <r>
          <rPr>
            <sz val="9"/>
            <color indexed="81"/>
            <rFont val="Tahoma"/>
            <family val="2"/>
          </rPr>
          <t xml:space="preserve">
1 FJD = 0.6569 AUD 
Exchange rate as at 13 Jan 2020</t>
        </r>
      </text>
    </comment>
    <comment ref="F5" authorId="1" shapeId="0">
      <text>
        <r>
          <rPr>
            <b/>
            <sz val="9"/>
            <color indexed="81"/>
            <rFont val="Tahoma"/>
            <family val="2"/>
          </rPr>
          <t>Pretishma Singh:</t>
        </r>
        <r>
          <rPr>
            <sz val="9"/>
            <color indexed="81"/>
            <rFont val="Tahoma"/>
            <family val="2"/>
          </rPr>
          <t xml:space="preserve">
1 FJD = 0.4091 EUR
Exchange rate as at 14 January 2020
As per email from Sai dated 14/01/20</t>
        </r>
      </text>
    </comment>
    <comment ref="C6" authorId="1" shapeId="0">
      <text>
        <r>
          <rPr>
            <b/>
            <sz val="9"/>
            <color indexed="81"/>
            <rFont val="Tahoma"/>
            <family val="2"/>
          </rPr>
          <t>Pretishma Singh:</t>
        </r>
        <r>
          <rPr>
            <sz val="9"/>
            <color indexed="81"/>
            <rFont val="Tahoma"/>
            <family val="2"/>
          </rPr>
          <t xml:space="preserve">
1 FJD = 0.6569 AUD 
Exchange rate as at 13 Jan 2020</t>
        </r>
      </text>
    </comment>
    <comment ref="F6" authorId="1" shapeId="0">
      <text>
        <r>
          <rPr>
            <b/>
            <sz val="9"/>
            <color indexed="81"/>
            <rFont val="Tahoma"/>
            <family val="2"/>
          </rPr>
          <t>Pretishma Singh:</t>
        </r>
        <r>
          <rPr>
            <sz val="9"/>
            <color indexed="81"/>
            <rFont val="Tahoma"/>
            <family val="2"/>
          </rPr>
          <t xml:space="preserve">
1 FJD = 0.4091 EUR
Exchange rate as at 14 January 2020
As per email from Sai dated 14/01/20</t>
        </r>
      </text>
    </comment>
    <comment ref="C7" authorId="1" shapeId="0">
      <text>
        <r>
          <rPr>
            <b/>
            <sz val="9"/>
            <color indexed="81"/>
            <rFont val="Tahoma"/>
            <family val="2"/>
          </rPr>
          <t>Pretishma Singh:</t>
        </r>
        <r>
          <rPr>
            <sz val="9"/>
            <color indexed="81"/>
            <rFont val="Tahoma"/>
            <family val="2"/>
          </rPr>
          <t xml:space="preserve">
1 FJD = 0.6569 AUD 
Exchange rate as at 13 Jan 2020
</t>
        </r>
      </text>
    </comment>
    <comment ref="F7" authorId="1" shapeId="0">
      <text>
        <r>
          <rPr>
            <b/>
            <sz val="9"/>
            <color indexed="81"/>
            <rFont val="Tahoma"/>
            <family val="2"/>
          </rPr>
          <t>Pretishma Singh:</t>
        </r>
        <r>
          <rPr>
            <sz val="9"/>
            <color indexed="81"/>
            <rFont val="Tahoma"/>
            <family val="2"/>
          </rPr>
          <t xml:space="preserve">
1 FJD = 0.4091 EUR
Exchange rate as at 14 January 2020
As per email from Michael Traut dated 23/05/19</t>
        </r>
      </text>
    </comment>
    <comment ref="C8" authorId="1" shapeId="0">
      <text>
        <r>
          <rPr>
            <b/>
            <sz val="9"/>
            <color indexed="81"/>
            <rFont val="Tahoma"/>
            <family val="2"/>
          </rPr>
          <t>Pretishma Singh:</t>
        </r>
        <r>
          <rPr>
            <sz val="9"/>
            <color indexed="81"/>
            <rFont val="Tahoma"/>
            <family val="2"/>
          </rPr>
          <t xml:space="preserve">
Exchange rate as at 17 June 2020
1 FJD = 0.6563
AUD </t>
        </r>
      </text>
    </comment>
    <comment ref="F8" authorId="1" shapeId="0">
      <text>
        <r>
          <rPr>
            <b/>
            <sz val="9"/>
            <color indexed="81"/>
            <rFont val="Tahoma"/>
            <family val="2"/>
          </rPr>
          <t>Pretishma Singh:</t>
        </r>
        <r>
          <rPr>
            <sz val="9"/>
            <color indexed="81"/>
            <rFont val="Tahoma"/>
            <family val="2"/>
          </rPr>
          <t xml:space="preserve">
1 FJD = 0.3599 GBP
Exchange rate as at 30 September 2020</t>
        </r>
      </text>
    </comment>
    <comment ref="C9" authorId="1" shapeId="0">
      <text>
        <r>
          <rPr>
            <b/>
            <sz val="9"/>
            <color indexed="81"/>
            <rFont val="Tahoma"/>
            <family val="2"/>
          </rPr>
          <t>Pretishma Singh:</t>
        </r>
        <r>
          <rPr>
            <sz val="9"/>
            <color indexed="81"/>
            <rFont val="Tahoma"/>
            <family val="2"/>
          </rPr>
          <t xml:space="preserve">
Exchange rate as at 30 September 2020
1 FJD = 0.6441
AUD </t>
        </r>
      </text>
    </comment>
    <comment ref="F9" authorId="1" shapeId="0">
      <text>
        <r>
          <rPr>
            <b/>
            <sz val="9"/>
            <color indexed="81"/>
            <rFont val="Tahoma"/>
            <family val="2"/>
          </rPr>
          <t>Pretishma Singh:</t>
        </r>
        <r>
          <rPr>
            <sz val="9"/>
            <color indexed="81"/>
            <rFont val="Tahoma"/>
            <family val="2"/>
          </rPr>
          <t xml:space="preserve">
1 FJD = 0.4591 USD
Exchange Rate as at 19 Oct 2020</t>
        </r>
      </text>
    </comment>
    <comment ref="C10" authorId="1" shapeId="0">
      <text>
        <r>
          <rPr>
            <b/>
            <sz val="9"/>
            <color indexed="81"/>
            <rFont val="Tahoma"/>
            <family val="2"/>
          </rPr>
          <t>Pretishma Singh:</t>
        </r>
        <r>
          <rPr>
            <sz val="9"/>
            <color indexed="81"/>
            <rFont val="Tahoma"/>
            <family val="2"/>
          </rPr>
          <t xml:space="preserve">
Exchange rate as at 30 September 2020
1 FJD = 0.6441
AUD 
As per email from Joyce dated 30/09/20</t>
        </r>
      </text>
    </comment>
    <comment ref="F12" authorId="1" shapeId="0">
      <text>
        <r>
          <rPr>
            <b/>
            <sz val="9"/>
            <color indexed="81"/>
            <rFont val="Tahoma"/>
            <family val="2"/>
          </rPr>
          <t>Pretishma Singh:</t>
        </r>
        <r>
          <rPr>
            <sz val="9"/>
            <color indexed="81"/>
            <rFont val="Tahoma"/>
            <family val="2"/>
          </rPr>
          <t xml:space="preserve">
1 FJD = 0.4540 USD 
Exchange Rate as at 14 January 2020</t>
        </r>
      </text>
    </comment>
    <comment ref="C15" authorId="1" shapeId="0">
      <text>
        <r>
          <rPr>
            <b/>
            <sz val="9"/>
            <color indexed="81"/>
            <rFont val="Tahoma"/>
            <family val="2"/>
          </rPr>
          <t>Pretishma Singh:</t>
        </r>
        <r>
          <rPr>
            <sz val="9"/>
            <color indexed="81"/>
            <rFont val="Tahoma"/>
            <family val="2"/>
          </rPr>
          <t xml:space="preserve">
Exchange rate as at 13 Jan 2019
1 FJD = 0.6798 NZD</t>
        </r>
      </text>
    </comment>
    <comment ref="C16" authorId="1" shapeId="0">
      <text>
        <r>
          <rPr>
            <b/>
            <sz val="9"/>
            <color indexed="81"/>
            <rFont val="Tahoma"/>
            <family val="2"/>
          </rPr>
          <t>Pretishma Singh:</t>
        </r>
        <r>
          <rPr>
            <sz val="9"/>
            <color indexed="81"/>
            <rFont val="Tahoma"/>
            <family val="2"/>
          </rPr>
          <t xml:space="preserve">
1 FJD = 0.6802 NZD 
Exchange rate as at 14 January 2019.
As per the email advise from Laus'i dated 14/1/20</t>
        </r>
      </text>
    </comment>
    <comment ref="C17" authorId="1" shapeId="0">
      <text>
        <r>
          <rPr>
            <b/>
            <sz val="9"/>
            <color indexed="81"/>
            <rFont val="Tahoma"/>
            <family val="2"/>
          </rPr>
          <t>Pretishma Singh:</t>
        </r>
        <r>
          <rPr>
            <sz val="9"/>
            <color indexed="81"/>
            <rFont val="Tahoma"/>
            <family val="2"/>
          </rPr>
          <t xml:space="preserve">
1 FJD = 0.6802 NZD
Exchange rate as at 14 January 2020
As per Maria's email dated 14/01/20</t>
        </r>
      </text>
    </comment>
    <comment ref="C18" authorId="1" shapeId="0">
      <text>
        <r>
          <rPr>
            <b/>
            <sz val="9"/>
            <color indexed="81"/>
            <rFont val="Tahoma"/>
            <family val="2"/>
          </rPr>
          <t>Pretishma Singh:</t>
        </r>
        <r>
          <rPr>
            <sz val="9"/>
            <color indexed="81"/>
            <rFont val="Tahoma"/>
            <family val="2"/>
          </rPr>
          <t xml:space="preserve">
1 FJD = 0.6969 NZD
Exchange rate as at 27 February 2020</t>
        </r>
      </text>
    </comment>
    <comment ref="C19" authorId="1" shapeId="0">
      <text>
        <r>
          <rPr>
            <b/>
            <sz val="9"/>
            <color indexed="81"/>
            <rFont val="Tahoma"/>
            <family val="2"/>
          </rPr>
          <t>Pretishma Singh:</t>
        </r>
        <r>
          <rPr>
            <sz val="9"/>
            <color indexed="81"/>
            <rFont val="Tahoma"/>
            <family val="2"/>
          </rPr>
          <t xml:space="preserve">
1 FJD = 0.3580 GBP
Exchange Rate as at 30 July 2020</t>
        </r>
      </text>
    </comment>
    <comment ref="F19" authorId="1" shapeId="0">
      <text>
        <r>
          <rPr>
            <b/>
            <sz val="9"/>
            <color indexed="81"/>
            <rFont val="Tahoma"/>
            <family val="2"/>
          </rPr>
          <t>Pretishma Singh:</t>
        </r>
        <r>
          <rPr>
            <sz val="9"/>
            <color indexed="81"/>
            <rFont val="Tahoma"/>
            <family val="2"/>
          </rPr>
          <t xml:space="preserve">
Includes rental charges for the second half of the year and 6 months advance payment for next year's rental + electricity charges for 1 year
</t>
        </r>
      </text>
    </comment>
    <comment ref="C20" authorId="1" shapeId="0">
      <text>
        <r>
          <rPr>
            <b/>
            <sz val="9"/>
            <color indexed="81"/>
            <rFont val="Tahoma"/>
            <family val="2"/>
          </rPr>
          <t>Pretishma Singh:</t>
        </r>
        <r>
          <rPr>
            <sz val="9"/>
            <color indexed="81"/>
            <rFont val="Tahoma"/>
            <family val="2"/>
          </rPr>
          <t xml:space="preserve">
1 FJD = 0.6756 NZD
Exchange Rate as at 18 November 2020</t>
        </r>
      </text>
    </comment>
    <comment ref="E21" authorId="1" shapeId="0">
      <text>
        <r>
          <rPr>
            <b/>
            <sz val="9"/>
            <color indexed="81"/>
            <rFont val="Tahoma"/>
            <family val="2"/>
          </rPr>
          <t>Pretishma Singh:</t>
        </r>
        <r>
          <rPr>
            <sz val="9"/>
            <color indexed="81"/>
            <rFont val="Tahoma"/>
            <family val="2"/>
          </rPr>
          <t xml:space="preserve">
As per Dr Patricia's email dated 17/01/20</t>
        </r>
      </text>
    </comment>
    <comment ref="F21" authorId="1" shapeId="0">
      <text>
        <r>
          <rPr>
            <b/>
            <sz val="9"/>
            <color indexed="81"/>
            <rFont val="Tahoma"/>
            <family val="2"/>
          </rPr>
          <t>Pretishma Singh:</t>
        </r>
        <r>
          <rPr>
            <sz val="9"/>
            <color indexed="81"/>
            <rFont val="Tahoma"/>
            <family val="2"/>
          </rPr>
          <t xml:space="preserve">
1 FJD = 3.0768 SBD
Exchange rate as at 17 Jan 2020</t>
        </r>
      </text>
    </comment>
    <comment ref="F22" authorId="1" shapeId="0">
      <text>
        <r>
          <rPr>
            <b/>
            <sz val="9"/>
            <color indexed="81"/>
            <rFont val="Tahoma"/>
            <family val="2"/>
          </rPr>
          <t>Pretishma Singh:</t>
        </r>
        <r>
          <rPr>
            <sz val="9"/>
            <color indexed="81"/>
            <rFont val="Tahoma"/>
            <family val="2"/>
          </rPr>
          <t xml:space="preserve">
1 FJD = 0.4091 EUR
Exchange rate as 15 January 2020</t>
        </r>
      </text>
    </comment>
    <comment ref="C24" authorId="1" shapeId="0">
      <text>
        <r>
          <rPr>
            <b/>
            <sz val="9"/>
            <color indexed="81"/>
            <rFont val="Tahoma"/>
            <family val="2"/>
          </rPr>
          <t>Pretishma Singh:</t>
        </r>
        <r>
          <rPr>
            <sz val="9"/>
            <color indexed="81"/>
            <rFont val="Tahoma"/>
            <family val="2"/>
          </rPr>
          <t xml:space="preserve">
1 FJD = 0.4540 USD
Exchange rate as at 14 January 2020</t>
        </r>
      </text>
    </comment>
    <comment ref="F24" authorId="1" shapeId="0">
      <text>
        <r>
          <rPr>
            <b/>
            <sz val="9"/>
            <color indexed="81"/>
            <rFont val="Tahoma"/>
            <family val="2"/>
          </rPr>
          <t>Pretishma Singh:</t>
        </r>
        <r>
          <rPr>
            <sz val="9"/>
            <color indexed="81"/>
            <rFont val="Tahoma"/>
            <family val="2"/>
          </rPr>
          <t xml:space="preserve">
1 FJD = 0.6108 CAD
Exchange rate as at 4 September 2020.
Funding reduced from CAD 48,000 to CAD 36,370</t>
        </r>
      </text>
    </comment>
    <comment ref="F25" authorId="1" shapeId="0">
      <text>
        <r>
          <rPr>
            <b/>
            <sz val="9"/>
            <color indexed="81"/>
            <rFont val="Tahoma"/>
            <family val="2"/>
          </rPr>
          <t>Pretishma Singh:</t>
        </r>
        <r>
          <rPr>
            <sz val="9"/>
            <color indexed="81"/>
            <rFont val="Tahoma"/>
            <family val="2"/>
          </rPr>
          <t xml:space="preserve">
1 FJD = 0.4601 USD
Exchange rate as at 11 August 2020</t>
        </r>
      </text>
    </comment>
    <comment ref="F26" authorId="1" shapeId="0">
      <text>
        <r>
          <rPr>
            <b/>
            <sz val="9"/>
            <color indexed="81"/>
            <rFont val="Tahoma"/>
            <family val="2"/>
          </rPr>
          <t>Pretishma Singh:</t>
        </r>
        <r>
          <rPr>
            <sz val="9"/>
            <color indexed="81"/>
            <rFont val="Tahoma"/>
            <family val="2"/>
          </rPr>
          <t xml:space="preserve">
1 FJD = 0.4601 USD
Exchange rate as at 11 August 2020</t>
        </r>
      </text>
    </comment>
    <comment ref="F27" authorId="1" shapeId="0">
      <text>
        <r>
          <rPr>
            <b/>
            <sz val="9"/>
            <color indexed="81"/>
            <rFont val="Tahoma"/>
            <family val="2"/>
          </rPr>
          <t>Pretishma Singh:</t>
        </r>
        <r>
          <rPr>
            <sz val="9"/>
            <color indexed="81"/>
            <rFont val="Tahoma"/>
            <family val="2"/>
          </rPr>
          <t xml:space="preserve">
1 FJD = 0.4646 USD
Exchange rate as 4 September 2020</t>
        </r>
      </text>
    </comment>
    <comment ref="F28" authorId="1" shapeId="0">
      <text>
        <r>
          <rPr>
            <b/>
            <sz val="9"/>
            <color indexed="81"/>
            <rFont val="Tahoma"/>
            <family val="2"/>
          </rPr>
          <t>Pretishma Singh:</t>
        </r>
        <r>
          <rPr>
            <sz val="9"/>
            <color indexed="81"/>
            <rFont val="Tahoma"/>
            <family val="2"/>
          </rPr>
          <t xml:space="preserve">
1 FJD = 0.4774 USD
Exchange rate as at 14 December 2020</t>
        </r>
      </text>
    </comment>
    <comment ref="C30" authorId="1" shapeId="0">
      <text>
        <r>
          <rPr>
            <b/>
            <sz val="9"/>
            <color indexed="81"/>
            <rFont val="Tahoma"/>
            <family val="2"/>
          </rPr>
          <t>Pretishma Singh:</t>
        </r>
        <r>
          <rPr>
            <sz val="9"/>
            <color indexed="81"/>
            <rFont val="Tahoma"/>
            <family val="2"/>
          </rPr>
          <t xml:space="preserve">
1 FJD = 48.02 JPY
Exchange rate as at 1 July 2020</t>
        </r>
      </text>
    </comment>
  </commentList>
</comments>
</file>

<file path=xl/sharedStrings.xml><?xml version="1.0" encoding="utf-8"?>
<sst xmlns="http://schemas.openxmlformats.org/spreadsheetml/2006/main" count="92" uniqueCount="80">
  <si>
    <t>Indicative Aid Budget 2020</t>
  </si>
  <si>
    <t xml:space="preserve">BILATERAL FUNDING </t>
  </si>
  <si>
    <t>Currency</t>
  </si>
  <si>
    <t>FJD</t>
  </si>
  <si>
    <t>MULTI-LATERAL FUNDING</t>
  </si>
  <si>
    <t>Australian</t>
  </si>
  <si>
    <t>AUD</t>
  </si>
  <si>
    <t>EU</t>
  </si>
  <si>
    <t>EUR/GBP/USD</t>
  </si>
  <si>
    <t xml:space="preserve">Recurrent (Core) Budget </t>
  </si>
  <si>
    <t xml:space="preserve">Letter of Agreement between USP and University of Bergen to cooperate through mutual cooperation in the ocean field and the climate research facilities </t>
  </si>
  <si>
    <t>Partner Organisation Agreement between USP and Monash University for Revitalising Informal Settlements and their Environments (RISE)</t>
  </si>
  <si>
    <t>Grant Agreement for Pillar Assessed Organisations for the Action entitled: Intra-ACP Global Climate Change Adaptation Plus (GCCA+) Pacific Climate Change and Resilience (PacRES)</t>
  </si>
  <si>
    <t>Memorandum of Understanding between USP and Australian Centre for International Agricultural Research on the project titled “Climate-Smart Landscapes for Promoting Sustainability of Pacific Island Agricultural Systems</t>
  </si>
  <si>
    <t xml:space="preserve">Grant Agreement for Pillar Assessed Organisations for the Action entitled: Global Climate Change Alliance Plus Scaling Up Pacific Adaptation (GCCA + SUPA) </t>
  </si>
  <si>
    <t>Deed of Variation for Contract No. C2014/086 V1 between USP and Australian Centre for International Agriculture Research (ACIAR) for the project ‘Postgraduate Scholarship Scheme’</t>
  </si>
  <si>
    <t>Agreement between USP and IBF International Consulting SA for the project entitled "Strengthening the Shipping High Ambition Coalition (SHAC) through Pacific Island States effective participation in IMO meetings"</t>
  </si>
  <si>
    <t xml:space="preserve"> </t>
  </si>
  <si>
    <t xml:space="preserve">Contract for the Provision of Post-graduate research scholarships between USP and Australian Centre for International Agricultural Research (ACIAR). </t>
  </si>
  <si>
    <r>
      <t xml:space="preserve">Collaboration Agreement between The Court of Edinburgh Napier University, The University Court of St Andrews, USP, The University of Goroka and National University of Samoa to support the project titled “Pacific Community Filmmaking and Gender, Impact and Public Engagement" </t>
    </r>
    <r>
      <rPr>
        <b/>
        <sz val="8"/>
        <rFont val="Arial"/>
        <family val="2"/>
      </rPr>
      <t>GBP 5,081</t>
    </r>
  </si>
  <si>
    <t>Collaborative Research Agreement between USP and The Commonwealth Scientific and Industrial Research Organisation (CSIRO) for the project titled “Provision of scientific and technical services for the Pacific Blue Carbon ProgramContract for the Provision of Post-graduate research scholarships between USP and ACIAR"</t>
  </si>
  <si>
    <r>
      <t xml:space="preserve">Agreement between USP and International Alliance for the Protection of Heritage in conflict areas (ALIPH) - COVID 19 Emergency Grant Agreement No 2020 - 1929 </t>
    </r>
    <r>
      <rPr>
        <b/>
        <sz val="8"/>
        <rFont val="Arial"/>
        <family val="2"/>
      </rPr>
      <t>USD 15,000</t>
    </r>
  </si>
  <si>
    <t>Activity Agreement between USP and International Water Centre (Griffith University) for “Improved health, gender equality and wellbeing of Asian and Pacific communities through inclusive, sustainable, WASH” project</t>
  </si>
  <si>
    <t>Total EU Aid</t>
  </si>
  <si>
    <t>UN</t>
  </si>
  <si>
    <t>USD</t>
  </si>
  <si>
    <r>
      <t xml:space="preserve">Grant Agreement between USP and UNOHCHR for the Development of Human Rights Defenders Course for Diploma in Leadership, Governance and Human Rights (DLGHR) </t>
    </r>
    <r>
      <rPr>
        <b/>
        <sz val="8"/>
        <rFont val="Arial"/>
        <family val="2"/>
      </rPr>
      <t>USD 15,800</t>
    </r>
  </si>
  <si>
    <t>Total Australian Aid</t>
  </si>
  <si>
    <t xml:space="preserve">Standard Letter of Agreement Between UNDP and USP on the implementation of the UN Pacific Regional Anti-Corruption (UN-PRAC) Project </t>
  </si>
  <si>
    <t>New Zealand</t>
  </si>
  <si>
    <t>NZD/GBP</t>
  </si>
  <si>
    <r>
      <t xml:space="preserve">Contract for Services between USP and UNESCO for the development, translation and e-publication of Education for Sustainable Development (ESD) learning materials </t>
    </r>
    <r>
      <rPr>
        <b/>
        <sz val="8"/>
        <rFont val="Arial"/>
        <family val="2"/>
      </rPr>
      <t>USD 128,503</t>
    </r>
  </si>
  <si>
    <r>
      <t>Partnership Agreement between USP and Ministry of Foreign Affairs and Trade, New Zealand.</t>
    </r>
    <r>
      <rPr>
        <b/>
        <sz val="8"/>
        <color theme="1"/>
        <rFont val="Arial"/>
        <family val="2"/>
      </rPr>
      <t xml:space="preserve"> NZD 100,000</t>
    </r>
  </si>
  <si>
    <r>
      <t xml:space="preserve">Partnership Agreement between USP and UNICEF for the programme titled “Pacific Education Sector Analysis, Planning and Appraisal” </t>
    </r>
    <r>
      <rPr>
        <b/>
        <sz val="8"/>
        <rFont val="Arial"/>
        <family val="2"/>
      </rPr>
      <t>TOP 44,962</t>
    </r>
  </si>
  <si>
    <r>
      <t xml:space="preserve">Variation No 1 to Research Subcontract Agreement between USP and Auckland Uniservices Limited – LEAP </t>
    </r>
    <r>
      <rPr>
        <b/>
        <sz val="8"/>
        <color theme="1"/>
        <rFont val="Arial"/>
        <family val="2"/>
      </rPr>
      <t>NZD 302,500</t>
    </r>
  </si>
  <si>
    <r>
      <t xml:space="preserve">Partners Implementation Agreement between USP and UNESCO for the Framework of the Pacific Islands Marine Bio-invasions Alert Network Project (PacMAN) </t>
    </r>
    <r>
      <rPr>
        <b/>
        <sz val="8"/>
        <rFont val="Arial"/>
        <family val="2"/>
      </rPr>
      <t>USD 40,500</t>
    </r>
  </si>
  <si>
    <r>
      <t xml:space="preserve">Subcontract Agreement between Auckland Uniservices Limited (Uniservices) and USP for the Tonga Education Support Activity </t>
    </r>
    <r>
      <rPr>
        <b/>
        <sz val="8"/>
        <color theme="1"/>
        <rFont val="Arial"/>
        <family val="2"/>
      </rPr>
      <t>NZD 613,968</t>
    </r>
  </si>
  <si>
    <t xml:space="preserve">                        </t>
  </si>
  <si>
    <r>
      <t xml:space="preserve">New Zealand Aid Programme Contribution towards Expenses:
Pacific Regional Support for the PacREF Steering Committee Meeting - March 2020 </t>
    </r>
    <r>
      <rPr>
        <b/>
        <sz val="8"/>
        <color theme="1"/>
        <rFont val="Arial"/>
        <family val="2"/>
      </rPr>
      <t>NZD 11,768.91</t>
    </r>
  </si>
  <si>
    <t>Total Multi-Lateral Funding</t>
  </si>
  <si>
    <r>
      <t>Agreement between The University of Birmingham and USP for the project titled "Understanding of Leadership in two Pacific Small Island Nations</t>
    </r>
    <r>
      <rPr>
        <b/>
        <sz val="8"/>
        <color theme="1"/>
        <rFont val="Arial"/>
        <family val="2"/>
      </rPr>
      <t xml:space="preserve"> £ 11878.50</t>
    </r>
  </si>
  <si>
    <t>Agreement between USP and Vodafone Fiji Limited for the installation of a Radio Base Station</t>
  </si>
  <si>
    <t>Grant Funding Arrangement - The USP Partnership Interim Funding Arrangement with Ministry of Foreign Affairs and Trade, New Zealand.</t>
  </si>
  <si>
    <t>Agreement between USP and ViMedia (Fiji) to host interactive phone-charging for Kiosks</t>
  </si>
  <si>
    <r>
      <t xml:space="preserve">Service Contract for Teacher in Training (TIT) project between Ministry of Education and Human Resources Development and USP </t>
    </r>
    <r>
      <rPr>
        <b/>
        <sz val="8"/>
        <rFont val="Arial"/>
        <family val="2"/>
      </rPr>
      <t>SBD 1,072,508.84</t>
    </r>
  </si>
  <si>
    <t>Total New Zealand Aid</t>
  </si>
  <si>
    <r>
      <t>Grant Agreement for European Union Pacific Technical and Vocational Education and Training
Climate Change Adaptation (EU-PacTVET) Project</t>
    </r>
    <r>
      <rPr>
        <b/>
        <sz val="8"/>
        <rFont val="Arial"/>
        <family val="2"/>
      </rPr>
      <t xml:space="preserve"> EUR 626,928</t>
    </r>
  </si>
  <si>
    <t>USA</t>
  </si>
  <si>
    <t>MOU between USP and Gurbachan Singh Memorial Trust  in support of the USP Scholarship Scheme</t>
  </si>
  <si>
    <t xml:space="preserve">Financial Assistance Award between US Department of Commerce and USP </t>
  </si>
  <si>
    <r>
      <t xml:space="preserve">Amendment to Contribution Agreement between USP and The Commonwealth of Learning to support the PACFOLD activities </t>
    </r>
    <r>
      <rPr>
        <b/>
        <sz val="8"/>
        <rFont val="Arial"/>
        <family val="2"/>
      </rPr>
      <t>CAD 36,370</t>
    </r>
  </si>
  <si>
    <r>
      <t xml:space="preserve">Service Contract between USP and the Secretariat of the Pacific Regional Environment Programme (SPREP) for the provision of National Capacity Needs Assessment for Waste in 14 Pacific Islands Countries and Timor-Leste for the PacWastePlus Programme </t>
    </r>
    <r>
      <rPr>
        <b/>
        <sz val="8"/>
        <rFont val="Arial"/>
        <family val="2"/>
      </rPr>
      <t>USD 100,533</t>
    </r>
  </si>
  <si>
    <r>
      <t xml:space="preserve">Service Contract between USP and the Secretariat of the Pacific Regional Environment Programme (SPREP) for the provision of Stocktake of tertiary and vocational waste management programs for the PacWastePlus Programme </t>
    </r>
    <r>
      <rPr>
        <b/>
        <sz val="8"/>
        <rFont val="Arial"/>
        <family val="2"/>
      </rPr>
      <t>USD 42,780</t>
    </r>
  </si>
  <si>
    <t>Total US Funding</t>
  </si>
  <si>
    <r>
      <t xml:space="preserve">Agreement between USP and the National Training Council of the Republic of the Marshall Islands (NTC) </t>
    </r>
    <r>
      <rPr>
        <b/>
        <sz val="8"/>
        <rFont val="Arial"/>
        <family val="2"/>
      </rPr>
      <t>USD 91,013.87</t>
    </r>
  </si>
  <si>
    <r>
      <t xml:space="preserve">Memorandum of Understanding between USP and CIVICUS </t>
    </r>
    <r>
      <rPr>
        <b/>
        <sz val="8"/>
        <rFont val="Arial"/>
        <family val="2"/>
      </rPr>
      <t>USD 16,732.90</t>
    </r>
  </si>
  <si>
    <t>Japan</t>
  </si>
  <si>
    <t>JPY</t>
  </si>
  <si>
    <t>Total Other Funding</t>
  </si>
  <si>
    <r>
      <t xml:space="preserve">Japan's Friendship Ties "JENESYS 2020" (Japan-East Asia Netwwork of Exchange for Students and Youths) Agreement between USP and Embassy of Japan in Fiji </t>
    </r>
    <r>
      <rPr>
        <b/>
        <sz val="8"/>
        <rFont val="Arial"/>
        <family val="2"/>
      </rPr>
      <t xml:space="preserve"> </t>
    </r>
  </si>
  <si>
    <t xml:space="preserve">SUMMARY OF INDICATIVE AID BUDGET </t>
  </si>
  <si>
    <t>BILATERAL FUNDING</t>
  </si>
  <si>
    <t>Total Japan Funding</t>
  </si>
  <si>
    <t>MULTILATERAL FUNDING</t>
  </si>
  <si>
    <t>OTHER FUNDING</t>
  </si>
  <si>
    <t>Total Bilateral Funding</t>
  </si>
  <si>
    <t xml:space="preserve">Exchange Rate: </t>
  </si>
  <si>
    <t>Australia                     1 FJD = 0.6569 AUD on 13/01/2020; 1 FJD = 0.6563 AUD on 17/06/2020; 1 FJD = 0.6441 AUD on 30/09/2020;</t>
  </si>
  <si>
    <t>New Zealand              1 FJD = 0.6798 NZD on 13/01/2020; 1 FJD = 0.6802 NZD on 14/01/2020; 1 FJD = 0.6969 NZD on 27/02/2020;</t>
  </si>
  <si>
    <t xml:space="preserve">                                   1 FJD = 0.6756 NZD on 18/11/2020;</t>
  </si>
  <si>
    <t>USA                            1 FJD = 0.4538 USD on 13/01/2020; 1 FJD = 0.4540 USD on 14/01/2020; 1 FJD = 0.4498 USD on 03/06/2020;</t>
  </si>
  <si>
    <t xml:space="preserve">                                   1 FJD = 0.4601 USD on 11/08/2020; 1 FJD = 0.4646 USD on 04/09/2020; 1 FJD = 0.4591 USD on 19/10/2020;</t>
  </si>
  <si>
    <t xml:space="preserve">                                   1 FJD = 0.4774 USD on 14/12/2020;</t>
  </si>
  <si>
    <t xml:space="preserve">EU                              1 FJD =0.4091 EUR on 14/01/2020; </t>
  </si>
  <si>
    <t xml:space="preserve">Solomon Islands         1 FJD = 3.0768 SBD on 17/01/2020; </t>
  </si>
  <si>
    <t>Canada                      1 FJD = 0.6108 CAD on 04/09/2020;</t>
  </si>
  <si>
    <t>Tonga                        1 FJD = 0.9634 TOP on 04/06/2020;</t>
  </si>
  <si>
    <t>Japan                         1 FJD = 48.02 JPY on 02/07/2020;</t>
  </si>
  <si>
    <t xml:space="preserve">British                         1 FJD = 0.3580 GBP on 30/07/2020; 1 FJD = 0.3599 on 30/09/2020;
</t>
  </si>
  <si>
    <t>Total Indicative Aid Budget as at 31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</si>
</sst>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164" formatCode="_-* #,##0.00_-;\-* #,##0.00_-;_-* &quot;-&quot;??_-;_-@_-"/>
    <numFmt numFmtId="165" formatCode="_-* #,##0_-;\-* #,##0_-;_-* &quot;-&quot;??_-;_-@_-"/>
  </numFmts>
  <fonts count="13" x14ac:knownFonts="1">
    <font>
      <sz val="10"/>
      <name val="Arial"/>
    </font>
    <font>
      <b/>
      <u/>
      <sz val="15"/>
      <name val="Arial"/>
      <family val="2"/>
    </font>
    <font>
      <b/>
      <u/>
      <sz val="8"/>
      <name val="Arial"/>
      <family val="2"/>
    </font>
    <font>
      <sz val="8"/>
      <name val="Arial"/>
      <family val="2"/>
    </font>
    <font>
      <sz val="10"/>
      <name val="Arial"/>
      <family val="2"/>
    </font>
    <font>
      <sz val="8"/>
      <color theme="1"/>
      <name val="Arial"/>
      <family val="2"/>
    </font>
    <font>
      <b/>
      <sz val="8"/>
      <name val="Arial"/>
      <family val="2"/>
    </font>
    <font>
      <b/>
      <sz val="8"/>
      <color theme="1"/>
      <name val="Arial"/>
      <family val="2"/>
    </font>
    <font>
      <sz val="8"/>
      <color theme="0"/>
      <name val="Arial"/>
      <family val="2"/>
    </font>
    <font>
      <b/>
      <sz val="8"/>
      <color theme="0"/>
      <name val="Arial"/>
      <family val="2"/>
    </font>
    <font>
      <b/>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indexed="47"/>
        <bgColor indexed="64"/>
      </patternFill>
    </fill>
    <fill>
      <patternFill patternType="solid">
        <fgColor rgb="FFFFFF99"/>
        <bgColor indexed="64"/>
      </patternFill>
    </fill>
    <fill>
      <patternFill patternType="solid">
        <fgColor theme="5"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49">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xf numFmtId="0" fontId="0" fillId="0" borderId="4" xfId="0" applyBorder="1"/>
    <xf numFmtId="3" fontId="2" fillId="2" borderId="1" xfId="0" applyNumberFormat="1" applyFont="1" applyFill="1" applyBorder="1" applyAlignment="1"/>
    <xf numFmtId="3" fontId="2" fillId="2" borderId="1" xfId="0" applyNumberFormat="1" applyFont="1" applyFill="1" applyBorder="1" applyAlignment="1">
      <alignment horizontal="center"/>
    </xf>
    <xf numFmtId="3" fontId="2" fillId="3" borderId="1" xfId="0" applyNumberFormat="1" applyFont="1" applyFill="1" applyBorder="1" applyAlignment="1">
      <alignment wrapText="1"/>
    </xf>
    <xf numFmtId="3" fontId="2" fillId="3" borderId="1" xfId="0" applyNumberFormat="1" applyFont="1" applyFill="1" applyBorder="1" applyAlignment="1">
      <alignment horizontal="center" wrapText="1"/>
    </xf>
    <xf numFmtId="0" fontId="3" fillId="3" borderId="1" xfId="0" applyFont="1" applyFill="1" applyBorder="1" applyAlignment="1">
      <alignment vertical="top" wrapText="1"/>
    </xf>
    <xf numFmtId="0" fontId="2" fillId="3" borderId="1" xfId="0" applyFont="1" applyFill="1" applyBorder="1" applyAlignment="1"/>
    <xf numFmtId="0" fontId="2" fillId="3" borderId="1" xfId="0" applyFont="1" applyFill="1" applyBorder="1" applyAlignment="1">
      <alignment horizontal="center" wrapText="1"/>
    </xf>
    <xf numFmtId="41" fontId="3" fillId="3" borderId="1" xfId="1" applyNumberFormat="1" applyFont="1" applyFill="1" applyBorder="1" applyAlignment="1"/>
    <xf numFmtId="3" fontId="3" fillId="0" borderId="1" xfId="0" applyNumberFormat="1" applyFont="1" applyFill="1" applyBorder="1" applyAlignment="1">
      <alignment wrapText="1"/>
    </xf>
    <xf numFmtId="41" fontId="3" fillId="0" borderId="1" xfId="1" applyNumberFormat="1" applyFont="1" applyFill="1" applyBorder="1" applyAlignment="1">
      <alignment wrapText="1"/>
    </xf>
    <xf numFmtId="0" fontId="3" fillId="0" borderId="1" xfId="0" applyFont="1" applyFill="1" applyBorder="1" applyAlignment="1">
      <alignment wrapText="1"/>
    </xf>
    <xf numFmtId="165" fontId="5" fillId="0" borderId="1" xfId="1" applyNumberFormat="1" applyFont="1" applyFill="1" applyBorder="1" applyAlignment="1">
      <alignment horizontal="right" wrapText="1"/>
    </xf>
    <xf numFmtId="41" fontId="3" fillId="0" borderId="1" xfId="1" applyNumberFormat="1" applyFont="1" applyFill="1" applyBorder="1" applyAlignment="1">
      <alignment horizontal="right" wrapText="1"/>
    </xf>
    <xf numFmtId="0" fontId="6" fillId="3" borderId="1" xfId="0" applyFont="1" applyFill="1" applyBorder="1" applyAlignment="1"/>
    <xf numFmtId="3" fontId="6" fillId="3" borderId="1" xfId="0" applyNumberFormat="1" applyFont="1" applyFill="1" applyBorder="1" applyAlignment="1"/>
    <xf numFmtId="3" fontId="2" fillId="3" borderId="1" xfId="0" applyNumberFormat="1" applyFont="1" applyFill="1" applyBorder="1" applyAlignment="1">
      <alignment horizontal="center"/>
    </xf>
    <xf numFmtId="3" fontId="3" fillId="0" borderId="1" xfId="0" applyNumberFormat="1" applyFont="1" applyFill="1" applyBorder="1" applyAlignment="1"/>
    <xf numFmtId="3" fontId="6" fillId="3" borderId="1" xfId="0" applyNumberFormat="1" applyFont="1" applyFill="1" applyBorder="1" applyAlignment="1">
      <alignment wrapText="1"/>
    </xf>
    <xf numFmtId="3" fontId="6" fillId="4" borderId="1" xfId="0" applyNumberFormat="1" applyFont="1" applyFill="1" applyBorder="1" applyAlignment="1">
      <alignment wrapText="1"/>
    </xf>
    <xf numFmtId="41" fontId="3" fillId="3" borderId="1" xfId="0" applyNumberFormat="1" applyFont="1" applyFill="1" applyBorder="1" applyAlignment="1">
      <alignment vertical="top" wrapText="1"/>
    </xf>
    <xf numFmtId="0" fontId="5" fillId="0" borderId="1" xfId="0" applyFont="1" applyFill="1" applyBorder="1" applyAlignment="1">
      <alignment wrapText="1"/>
    </xf>
    <xf numFmtId="3" fontId="5" fillId="0" borderId="1" xfId="0" applyNumberFormat="1" applyFont="1" applyFill="1" applyBorder="1" applyAlignment="1">
      <alignment wrapText="1"/>
    </xf>
    <xf numFmtId="0" fontId="5" fillId="0" borderId="1" xfId="0" applyFont="1" applyFill="1" applyBorder="1" applyAlignment="1">
      <alignment vertical="top" wrapText="1"/>
    </xf>
    <xf numFmtId="3" fontId="2" fillId="5" borderId="1" xfId="0" applyNumberFormat="1" applyFont="1" applyFill="1" applyBorder="1" applyAlignment="1"/>
    <xf numFmtId="3" fontId="6" fillId="5" borderId="1" xfId="0" applyNumberFormat="1" applyFont="1" applyFill="1" applyBorder="1" applyAlignment="1"/>
    <xf numFmtId="41" fontId="6" fillId="5" borderId="1" xfId="1" applyNumberFormat="1" applyFont="1" applyFill="1" applyBorder="1" applyAlignment="1"/>
    <xf numFmtId="9" fontId="2" fillId="3" borderId="1" xfId="3" applyFont="1" applyFill="1" applyBorder="1" applyAlignment="1"/>
    <xf numFmtId="9" fontId="2" fillId="3" borderId="1" xfId="3" applyFont="1" applyFill="1" applyBorder="1" applyAlignment="1">
      <alignment horizontal="center"/>
    </xf>
    <xf numFmtId="0" fontId="4" fillId="0" borderId="0" xfId="0" applyFont="1"/>
    <xf numFmtId="3" fontId="6" fillId="0" borderId="1" xfId="0" applyNumberFormat="1" applyFont="1" applyFill="1" applyBorder="1" applyAlignment="1"/>
    <xf numFmtId="3" fontId="2" fillId="6" borderId="1" xfId="0" applyNumberFormat="1" applyFont="1" applyFill="1" applyBorder="1" applyAlignment="1">
      <alignment horizontal="left"/>
    </xf>
    <xf numFmtId="41" fontId="8" fillId="6" borderId="1" xfId="1" applyNumberFormat="1" applyFont="1" applyFill="1" applyBorder="1" applyAlignment="1"/>
    <xf numFmtId="3" fontId="9" fillId="6" borderId="1" xfId="0" applyNumberFormat="1" applyFont="1" applyFill="1" applyBorder="1" applyAlignment="1">
      <alignment horizontal="left"/>
    </xf>
    <xf numFmtId="41" fontId="9" fillId="6" borderId="1" xfId="1" applyNumberFormat="1" applyFont="1" applyFill="1" applyBorder="1" applyAlignment="1"/>
    <xf numFmtId="3" fontId="6" fillId="3" borderId="1" xfId="0" applyNumberFormat="1" applyFont="1" applyFill="1" applyBorder="1"/>
    <xf numFmtId="3" fontId="6" fillId="0" borderId="1" xfId="0" applyNumberFormat="1" applyFont="1" applyFill="1" applyBorder="1"/>
    <xf numFmtId="41" fontId="6" fillId="5" borderId="1" xfId="0" applyNumberFormat="1" applyFont="1" applyFill="1" applyBorder="1" applyAlignment="1"/>
    <xf numFmtId="165" fontId="6" fillId="5" borderId="1" xfId="1" applyNumberFormat="1" applyFont="1" applyFill="1" applyBorder="1" applyAlignment="1"/>
    <xf numFmtId="3" fontId="9" fillId="6" borderId="1" xfId="0" applyNumberFormat="1" applyFont="1" applyFill="1" applyBorder="1" applyAlignment="1">
      <alignment horizontal="left" vertical="center" wrapText="1"/>
    </xf>
    <xf numFmtId="41" fontId="9" fillId="6" borderId="1" xfId="2" applyNumberFormat="1" applyFont="1" applyFill="1" applyBorder="1" applyAlignment="1">
      <alignment vertical="center"/>
    </xf>
    <xf numFmtId="3" fontId="2" fillId="0" borderId="0" xfId="0" applyNumberFormat="1" applyFont="1" applyFill="1" applyBorder="1"/>
    <xf numFmtId="41" fontId="6" fillId="0" borderId="0" xfId="0" applyNumberFormat="1" applyFont="1" applyFill="1" applyBorder="1"/>
    <xf numFmtId="165" fontId="6" fillId="0" borderId="0" xfId="1" applyNumberFormat="1" applyFont="1" applyFill="1" applyBorder="1"/>
    <xf numFmtId="0" fontId="10"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tabSelected="1" zoomScale="110" zoomScaleNormal="110" workbookViewId="0">
      <selection activeCell="D46" sqref="D46"/>
    </sheetView>
  </sheetViews>
  <sheetFormatPr defaultRowHeight="13.2" x14ac:dyDescent="0.25"/>
  <cols>
    <col min="1" max="1" width="42.77734375" customWidth="1"/>
    <col min="2" max="2" width="9.5546875" bestFit="1" customWidth="1"/>
    <col min="3" max="3" width="9.77734375" bestFit="1" customWidth="1"/>
    <col min="4" max="4" width="43.6640625" customWidth="1"/>
    <col min="5" max="5" width="9.21875" bestFit="1" customWidth="1"/>
    <col min="6" max="6" width="9.77734375" bestFit="1" customWidth="1"/>
  </cols>
  <sheetData>
    <row r="1" spans="1:9" ht="19.2" x14ac:dyDescent="0.25">
      <c r="A1" s="1" t="s">
        <v>0</v>
      </c>
      <c r="B1" s="1"/>
      <c r="C1" s="1"/>
      <c r="D1" s="2"/>
      <c r="E1" s="3"/>
      <c r="F1" s="4"/>
    </row>
    <row r="2" spans="1:9" x14ac:dyDescent="0.25">
      <c r="A2" s="5" t="s">
        <v>1</v>
      </c>
      <c r="B2" s="6" t="s">
        <v>2</v>
      </c>
      <c r="C2" s="6" t="s">
        <v>3</v>
      </c>
      <c r="D2" s="5" t="s">
        <v>4</v>
      </c>
      <c r="E2" s="6" t="s">
        <v>2</v>
      </c>
      <c r="F2" s="6" t="s">
        <v>3</v>
      </c>
    </row>
    <row r="3" spans="1:9" ht="26.4" customHeight="1" x14ac:dyDescent="0.25">
      <c r="A3" s="7" t="s">
        <v>5</v>
      </c>
      <c r="B3" s="8" t="s">
        <v>6</v>
      </c>
      <c r="C3" s="9"/>
      <c r="D3" s="10" t="s">
        <v>7</v>
      </c>
      <c r="E3" s="11" t="s">
        <v>8</v>
      </c>
      <c r="F3" s="12"/>
    </row>
    <row r="4" spans="1:9" ht="33" customHeight="1" x14ac:dyDescent="0.25">
      <c r="A4" s="13" t="s">
        <v>9</v>
      </c>
      <c r="B4" s="13">
        <v>14000000</v>
      </c>
      <c r="C4" s="14">
        <f>14000000/0.6569</f>
        <v>21312224.082813211</v>
      </c>
      <c r="D4" s="15" t="s">
        <v>10</v>
      </c>
      <c r="E4" s="13"/>
      <c r="F4" s="13">
        <v>103896</v>
      </c>
    </row>
    <row r="5" spans="1:9" ht="34.200000000000003" customHeight="1" x14ac:dyDescent="0.25">
      <c r="A5" s="15" t="s">
        <v>11</v>
      </c>
      <c r="B5" s="16">
        <v>5000</v>
      </c>
      <c r="C5" s="17">
        <f>5000/0.6569</f>
        <v>7611.5086010047189</v>
      </c>
      <c r="D5" s="15" t="s">
        <v>12</v>
      </c>
      <c r="E5" s="13">
        <v>532397</v>
      </c>
      <c r="F5" s="13">
        <f>E5/0.4091</f>
        <v>1301385.9692006845</v>
      </c>
    </row>
    <row r="6" spans="1:9" ht="44.4" customHeight="1" x14ac:dyDescent="0.25">
      <c r="A6" s="15" t="s">
        <v>13</v>
      </c>
      <c r="B6" s="16">
        <f>47081+49393</f>
        <v>96474</v>
      </c>
      <c r="C6" s="17">
        <f>96474/0.6569</f>
        <v>146862.53615466584</v>
      </c>
      <c r="D6" s="15" t="s">
        <v>14</v>
      </c>
      <c r="E6" s="13">
        <v>531223</v>
      </c>
      <c r="F6" s="13">
        <f>E6/0.4091</f>
        <v>1298516.255194329</v>
      </c>
    </row>
    <row r="7" spans="1:9" ht="45" customHeight="1" x14ac:dyDescent="0.25">
      <c r="A7" s="15" t="s">
        <v>15</v>
      </c>
      <c r="B7" s="16">
        <v>70000</v>
      </c>
      <c r="C7" s="17">
        <f>70000/0.6569</f>
        <v>106561.12041406606</v>
      </c>
      <c r="D7" s="15" t="s">
        <v>16</v>
      </c>
      <c r="E7" s="13">
        <v>88800</v>
      </c>
      <c r="F7" s="13">
        <f>88800/0.4091</f>
        <v>217061.84307015399</v>
      </c>
      <c r="H7" t="s">
        <v>17</v>
      </c>
      <c r="I7" t="s">
        <v>17</v>
      </c>
    </row>
    <row r="8" spans="1:9" ht="55.8" customHeight="1" x14ac:dyDescent="0.25">
      <c r="A8" s="15" t="s">
        <v>18</v>
      </c>
      <c r="B8" s="16">
        <v>450000</v>
      </c>
      <c r="C8" s="17">
        <f>B8/0.6563</f>
        <v>685662.04479658697</v>
      </c>
      <c r="D8" s="15" t="s">
        <v>19</v>
      </c>
      <c r="E8" s="13">
        <v>5081</v>
      </c>
      <c r="F8" s="13">
        <f>E8/0.3599</f>
        <v>14117.810502917477</v>
      </c>
      <c r="I8" t="s">
        <v>17</v>
      </c>
    </row>
    <row r="9" spans="1:9" ht="64.2" customHeight="1" x14ac:dyDescent="0.25">
      <c r="A9" s="15" t="s">
        <v>20</v>
      </c>
      <c r="B9" s="16">
        <v>15600</v>
      </c>
      <c r="C9" s="17">
        <f>B9/0.6441</f>
        <v>24219.841639496972</v>
      </c>
      <c r="D9" s="15" t="s">
        <v>21</v>
      </c>
      <c r="E9" s="13">
        <v>15000</v>
      </c>
      <c r="F9" s="13">
        <f>E9/0.4591</f>
        <v>32672.620344151601</v>
      </c>
    </row>
    <row r="10" spans="1:9" ht="41.4" x14ac:dyDescent="0.25">
      <c r="A10" s="15" t="s">
        <v>22</v>
      </c>
      <c r="B10" s="16">
        <f>39073+24248</f>
        <v>63321</v>
      </c>
      <c r="C10" s="17">
        <f>B10/0.6441</f>
        <v>98309.268747088965</v>
      </c>
      <c r="D10" s="18" t="s">
        <v>23</v>
      </c>
      <c r="E10" s="19"/>
      <c r="F10" s="19">
        <f>SUM(F4:F9)</f>
        <v>2967650.4983122367</v>
      </c>
    </row>
    <row r="11" spans="1:9" ht="34.200000000000003" customHeight="1" x14ac:dyDescent="0.25">
      <c r="A11" s="15"/>
      <c r="B11" s="16"/>
      <c r="C11" s="17"/>
      <c r="D11" s="18" t="s">
        <v>24</v>
      </c>
      <c r="E11" s="20" t="s">
        <v>25</v>
      </c>
      <c r="F11" s="19"/>
    </row>
    <row r="12" spans="1:9" ht="41.4" x14ac:dyDescent="0.25">
      <c r="A12" s="15"/>
      <c r="B12" s="16"/>
      <c r="C12" s="17"/>
      <c r="D12" s="15" t="s">
        <v>26</v>
      </c>
      <c r="E12" s="21">
        <v>15799.8</v>
      </c>
      <c r="F12" s="21">
        <f>E12/0.454</f>
        <v>34801.321585903082</v>
      </c>
      <c r="G12" t="s">
        <v>17</v>
      </c>
    </row>
    <row r="13" spans="1:9" ht="34.799999999999997" customHeight="1" x14ac:dyDescent="0.25">
      <c r="A13" s="22" t="s">
        <v>27</v>
      </c>
      <c r="B13" s="23">
        <f>SUM(B4:B10)</f>
        <v>14700395</v>
      </c>
      <c r="C13" s="23">
        <f>SUM(C4:C10)</f>
        <v>22381450.403166119</v>
      </c>
      <c r="D13" s="15" t="s">
        <v>28</v>
      </c>
      <c r="E13" s="21"/>
      <c r="F13" s="21">
        <v>23512</v>
      </c>
    </row>
    <row r="14" spans="1:9" ht="33" customHeight="1" x14ac:dyDescent="0.25">
      <c r="A14" s="7" t="s">
        <v>29</v>
      </c>
      <c r="B14" s="8" t="s">
        <v>30</v>
      </c>
      <c r="C14" s="24"/>
      <c r="D14" s="15" t="s">
        <v>31</v>
      </c>
      <c r="E14" s="21">
        <v>128503</v>
      </c>
      <c r="F14" s="21">
        <f>128503/0.4498</f>
        <v>285689.19519786572</v>
      </c>
      <c r="I14" t="s">
        <v>17</v>
      </c>
    </row>
    <row r="15" spans="1:9" ht="32.4" customHeight="1" x14ac:dyDescent="0.25">
      <c r="A15" s="25" t="s">
        <v>32</v>
      </c>
      <c r="B15" s="26">
        <v>100000</v>
      </c>
      <c r="C15" s="26">
        <f>B15/0.6798</f>
        <v>147102.08884966167</v>
      </c>
      <c r="D15" s="15" t="s">
        <v>33</v>
      </c>
      <c r="E15" s="21">
        <v>44962</v>
      </c>
      <c r="F15" s="21">
        <f>44962/0.9634</f>
        <v>46670.12663483496</v>
      </c>
    </row>
    <row r="16" spans="1:9" ht="32.4" customHeight="1" x14ac:dyDescent="0.25">
      <c r="A16" s="27" t="s">
        <v>34</v>
      </c>
      <c r="B16" s="26">
        <v>302500</v>
      </c>
      <c r="C16" s="26">
        <f>302500/0.6802</f>
        <v>444722.14054689795</v>
      </c>
      <c r="D16" s="15" t="s">
        <v>35</v>
      </c>
      <c r="E16" s="21">
        <v>40500</v>
      </c>
      <c r="F16" s="21">
        <f>E16/0.4646</f>
        <v>87171.760654326295</v>
      </c>
    </row>
    <row r="17" spans="1:9" ht="30.6" x14ac:dyDescent="0.25">
      <c r="A17" s="27" t="s">
        <v>36</v>
      </c>
      <c r="B17" s="26">
        <v>613968</v>
      </c>
      <c r="C17" s="26">
        <f>B17/0.6802</f>
        <v>902628.63863569533</v>
      </c>
      <c r="D17" s="18" t="s">
        <v>37</v>
      </c>
      <c r="E17" s="19"/>
      <c r="F17" s="19">
        <f>SUM(F12:F16)</f>
        <v>477844.40407293005</v>
      </c>
      <c r="I17" t="s">
        <v>17</v>
      </c>
    </row>
    <row r="18" spans="1:9" ht="30.6" x14ac:dyDescent="0.25">
      <c r="A18" s="27" t="s">
        <v>38</v>
      </c>
      <c r="B18" s="26">
        <v>11768.91</v>
      </c>
      <c r="C18" s="26">
        <f>B18/0.6969</f>
        <v>16887.516142918641</v>
      </c>
      <c r="D18" s="28" t="s">
        <v>39</v>
      </c>
      <c r="E18" s="29"/>
      <c r="F18" s="30">
        <f>F10+F17</f>
        <v>3445494.9023851668</v>
      </c>
    </row>
    <row r="19" spans="1:9" ht="30.6" x14ac:dyDescent="0.25">
      <c r="A19" s="27" t="s">
        <v>40</v>
      </c>
      <c r="B19" s="26">
        <v>11878.5</v>
      </c>
      <c r="C19" s="26">
        <f>11879/0.358</f>
        <v>33181.564245810056</v>
      </c>
      <c r="D19" s="15" t="s">
        <v>41</v>
      </c>
      <c r="E19" s="13"/>
      <c r="F19" s="13">
        <f>9000+7200</f>
        <v>16200</v>
      </c>
    </row>
    <row r="20" spans="1:9" ht="32.4" customHeight="1" x14ac:dyDescent="0.25">
      <c r="A20" s="27" t="s">
        <v>42</v>
      </c>
      <c r="B20" s="26">
        <v>5000000</v>
      </c>
      <c r="C20" s="26">
        <f>B20/0.6756</f>
        <v>7400828.892835998</v>
      </c>
      <c r="D20" s="15" t="s">
        <v>43</v>
      </c>
      <c r="E20" s="13"/>
      <c r="F20" s="13">
        <f>(1500*12)+5000</f>
        <v>23000</v>
      </c>
    </row>
    <row r="21" spans="1:9" ht="32.4" customHeight="1" x14ac:dyDescent="0.25">
      <c r="A21" s="27"/>
      <c r="B21" s="26"/>
      <c r="C21" s="26"/>
      <c r="D21" s="15" t="s">
        <v>44</v>
      </c>
      <c r="E21" s="13">
        <v>1072508.8400000001</v>
      </c>
      <c r="F21" s="13">
        <f>E21/3.0768</f>
        <v>348579.31617264694</v>
      </c>
      <c r="H21" t="s">
        <v>17</v>
      </c>
    </row>
    <row r="22" spans="1:9" ht="25.2" customHeight="1" x14ac:dyDescent="0.25">
      <c r="A22" s="22" t="s">
        <v>45</v>
      </c>
      <c r="B22" s="22">
        <f>SUM(B15:B20)</f>
        <v>6040115.4100000001</v>
      </c>
      <c r="C22" s="22">
        <f>SUM(C15:C20)</f>
        <v>8945350.8412569817</v>
      </c>
      <c r="D22" s="15" t="s">
        <v>46</v>
      </c>
      <c r="E22" s="13">
        <v>626927.5</v>
      </c>
      <c r="F22" s="13">
        <f>E22/0.4091</f>
        <v>1532455.3898802248</v>
      </c>
    </row>
    <row r="23" spans="1:9" ht="32.4" customHeight="1" x14ac:dyDescent="0.25">
      <c r="A23" s="31" t="s">
        <v>47</v>
      </c>
      <c r="B23" s="32" t="s">
        <v>25</v>
      </c>
      <c r="C23" s="32"/>
      <c r="D23" s="15" t="s">
        <v>48</v>
      </c>
      <c r="E23" s="13"/>
      <c r="F23" s="13">
        <v>10000</v>
      </c>
      <c r="I23" t="s">
        <v>17</v>
      </c>
    </row>
    <row r="24" spans="1:9" ht="35.4" customHeight="1" x14ac:dyDescent="0.25">
      <c r="A24" s="13" t="s">
        <v>49</v>
      </c>
      <c r="B24" s="13">
        <v>51813</v>
      </c>
      <c r="C24" s="13">
        <f>B24/0.454</f>
        <v>114125.55066079294</v>
      </c>
      <c r="D24" s="15" t="s">
        <v>50</v>
      </c>
      <c r="E24" s="13">
        <v>36370</v>
      </c>
      <c r="F24" s="13">
        <f>E24/0.6108</f>
        <v>59544.859201047802</v>
      </c>
    </row>
    <row r="25" spans="1:9" ht="34.799999999999997" customHeight="1" x14ac:dyDescent="0.25">
      <c r="A25" s="13"/>
      <c r="B25" s="13"/>
      <c r="C25" s="13"/>
      <c r="D25" s="15" t="s">
        <v>51</v>
      </c>
      <c r="E25" s="13">
        <v>100533</v>
      </c>
      <c r="F25" s="13">
        <f>100533/0.4601</f>
        <v>218502.49945663987</v>
      </c>
    </row>
    <row r="26" spans="1:9" ht="23.4" customHeight="1" x14ac:dyDescent="0.25">
      <c r="A26" s="13"/>
      <c r="B26" s="13"/>
      <c r="C26" s="13"/>
      <c r="D26" s="15" t="s">
        <v>52</v>
      </c>
      <c r="E26" s="13">
        <v>42780</v>
      </c>
      <c r="F26" s="13">
        <f>42780/0.4601</f>
        <v>92979.787002825469</v>
      </c>
      <c r="H26" s="33" t="s">
        <v>17</v>
      </c>
    </row>
    <row r="27" spans="1:9" ht="32.4" customHeight="1" x14ac:dyDescent="0.25">
      <c r="A27" s="19" t="s">
        <v>53</v>
      </c>
      <c r="B27" s="19">
        <f>SUM(B24:B24)</f>
        <v>51813</v>
      </c>
      <c r="C27" s="19">
        <f>SUM(C24:C24)</f>
        <v>114125.55066079294</v>
      </c>
      <c r="D27" s="15" t="s">
        <v>54</v>
      </c>
      <c r="E27" s="13">
        <v>91013.87</v>
      </c>
      <c r="F27" s="13">
        <f>E27/0.4646</f>
        <v>195897.26646577701</v>
      </c>
      <c r="G27" s="33" t="s">
        <v>17</v>
      </c>
    </row>
    <row r="28" spans="1:9" ht="25.8" customHeight="1" x14ac:dyDescent="0.25">
      <c r="A28" s="34"/>
      <c r="B28" s="34"/>
      <c r="C28" s="34"/>
      <c r="D28" s="15" t="s">
        <v>55</v>
      </c>
      <c r="E28" s="13">
        <v>16732.900000000001</v>
      </c>
      <c r="F28" s="13">
        <f>E28/0.4774</f>
        <v>35050.062840385428</v>
      </c>
    </row>
    <row r="29" spans="1:9" ht="34.200000000000003" customHeight="1" x14ac:dyDescent="0.25">
      <c r="A29" s="31" t="s">
        <v>56</v>
      </c>
      <c r="B29" s="32" t="s">
        <v>57</v>
      </c>
      <c r="C29" s="31"/>
      <c r="D29" s="28" t="s">
        <v>58</v>
      </c>
      <c r="E29" s="28"/>
      <c r="F29" s="30">
        <f>SUM(F19:F28)</f>
        <v>2532209.1810195474</v>
      </c>
    </row>
    <row r="30" spans="1:9" ht="31.2" x14ac:dyDescent="0.25">
      <c r="A30" s="13" t="s">
        <v>59</v>
      </c>
      <c r="B30" s="21">
        <v>91008000</v>
      </c>
      <c r="C30" s="21">
        <f>B30/48.02</f>
        <v>1895210.3290295708</v>
      </c>
      <c r="D30" s="35" t="s">
        <v>60</v>
      </c>
      <c r="E30" s="35"/>
      <c r="F30" s="36"/>
    </row>
    <row r="31" spans="1:9" x14ac:dyDescent="0.25">
      <c r="A31" s="13"/>
      <c r="B31" s="21"/>
      <c r="C31" s="21"/>
      <c r="D31" s="37" t="s">
        <v>61</v>
      </c>
      <c r="E31" s="37"/>
      <c r="F31" s="38">
        <f>C35</f>
        <v>33336137.124113463</v>
      </c>
    </row>
    <row r="32" spans="1:9" x14ac:dyDescent="0.25">
      <c r="A32" s="39" t="s">
        <v>62</v>
      </c>
      <c r="B32" s="39">
        <f>SUM(B30)</f>
        <v>91008000</v>
      </c>
      <c r="C32" s="39">
        <f>SUM(C30)</f>
        <v>1895210.3290295708</v>
      </c>
      <c r="D32" s="37" t="s">
        <v>63</v>
      </c>
      <c r="E32" s="37"/>
      <c r="F32" s="38">
        <f>F18</f>
        <v>3445494.9023851668</v>
      </c>
    </row>
    <row r="33" spans="1:6" x14ac:dyDescent="0.25">
      <c r="A33" s="40"/>
      <c r="B33" s="40"/>
      <c r="C33" s="40"/>
      <c r="D33" s="37"/>
      <c r="E33" s="37"/>
      <c r="F33" s="38"/>
    </row>
    <row r="34" spans="1:6" x14ac:dyDescent="0.25">
      <c r="A34" s="40"/>
      <c r="B34" s="40"/>
      <c r="C34" s="40"/>
      <c r="D34" s="37" t="s">
        <v>64</v>
      </c>
      <c r="E34" s="37"/>
      <c r="F34" s="38">
        <f>F29</f>
        <v>2532209.1810195474</v>
      </c>
    </row>
    <row r="35" spans="1:6" x14ac:dyDescent="0.25">
      <c r="A35" s="28" t="s">
        <v>65</v>
      </c>
      <c r="B35" s="41"/>
      <c r="C35" s="42">
        <f>C13+C22+C27+C32</f>
        <v>33336137.124113463</v>
      </c>
      <c r="D35" s="43" t="s">
        <v>79</v>
      </c>
      <c r="E35" s="43"/>
      <c r="F35" s="44">
        <f>SUM(F31:F34)</f>
        <v>39313841.207518175</v>
      </c>
    </row>
    <row r="36" spans="1:6" x14ac:dyDescent="0.25">
      <c r="A36" s="45"/>
      <c r="B36" s="46"/>
      <c r="C36" s="47"/>
    </row>
    <row r="37" spans="1:6" x14ac:dyDescent="0.25">
      <c r="A37" s="48" t="s">
        <v>66</v>
      </c>
    </row>
    <row r="38" spans="1:6" x14ac:dyDescent="0.25">
      <c r="A38" s="33" t="s">
        <v>67</v>
      </c>
    </row>
    <row r="39" spans="1:6" x14ac:dyDescent="0.25">
      <c r="A39" s="33" t="s">
        <v>68</v>
      </c>
    </row>
    <row r="40" spans="1:6" x14ac:dyDescent="0.25">
      <c r="A40" s="33" t="s">
        <v>69</v>
      </c>
    </row>
    <row r="41" spans="1:6" x14ac:dyDescent="0.25">
      <c r="A41" s="33" t="s">
        <v>70</v>
      </c>
    </row>
    <row r="42" spans="1:6" x14ac:dyDescent="0.25">
      <c r="A42" s="33" t="s">
        <v>71</v>
      </c>
    </row>
    <row r="43" spans="1:6" x14ac:dyDescent="0.25">
      <c r="A43" s="33" t="s">
        <v>72</v>
      </c>
    </row>
    <row r="44" spans="1:6" x14ac:dyDescent="0.25">
      <c r="A44" s="33" t="s">
        <v>73</v>
      </c>
    </row>
    <row r="45" spans="1:6" x14ac:dyDescent="0.25">
      <c r="A45" s="33" t="s">
        <v>74</v>
      </c>
    </row>
    <row r="46" spans="1:6" x14ac:dyDescent="0.25">
      <c r="A46" s="33" t="s">
        <v>75</v>
      </c>
    </row>
    <row r="47" spans="1:6" x14ac:dyDescent="0.25">
      <c r="A47" s="33" t="s">
        <v>76</v>
      </c>
    </row>
    <row r="48" spans="1:6" x14ac:dyDescent="0.25">
      <c r="A48" s="33" t="s">
        <v>77</v>
      </c>
    </row>
    <row r="49" spans="1:1" x14ac:dyDescent="0.25">
      <c r="A49" s="33" t="s">
        <v>78</v>
      </c>
    </row>
  </sheetData>
  <mergeCells count="1">
    <mergeCell ref="A1:D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Indicative Aid 2020</vt:lpstr>
    </vt:vector>
  </TitlesOfParts>
  <Company>The University of the South Pacific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Pretishma Singh</dc:creator>
  <cp:lastModifiedBy>Pretishma Singh</cp:lastModifiedBy>
  <dcterms:created xsi:type="dcterms:W3CDTF">2021-07-14T03:20:13Z</dcterms:created>
  <dcterms:modified xsi:type="dcterms:W3CDTF">2021-07-14T03:20:40Z</dcterms:modified>
</cp:coreProperties>
</file>